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oGgBcD9EZJlKNGVRIC6bOIUAzoG4LgW7pLUJD40qxEpV53l7KOoCktl5r+f3ZvUePmproCfFMqLocVR/HOKQIg==" workbookSaltValue="wHr9MGUogM8g7156zy6Q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T13" i="16"/>
  <c r="AP13"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L19" i="8" l="1"/>
  <c r="F17" i="16"/>
  <c r="BL17" i="16" s="1"/>
  <c r="AM19" i="8"/>
  <c r="AC19" i="8"/>
  <c r="AK19" i="8"/>
  <c r="AA19" i="8"/>
  <c r="AI19" i="8"/>
  <c r="C12" i="14"/>
  <c r="K12" i="14" s="1"/>
  <c r="BG12" i="8"/>
  <c r="AE13" i="17"/>
  <c r="BF11" i="8"/>
  <c r="S13" i="12"/>
  <c r="I10" i="3"/>
  <c r="R19" i="8"/>
  <c r="T19" i="8"/>
  <c r="N13" i="2"/>
  <c r="H9" i="7"/>
  <c r="F17" i="17"/>
  <c r="AQ17" i="17" s="1"/>
  <c r="E12" i="6"/>
  <c r="BG9" i="8"/>
  <c r="BE9" i="8"/>
  <c r="BE12" i="8"/>
  <c r="I12" i="7" s="1"/>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J15" i="7"/>
  <c r="L16" i="2"/>
  <c r="C11" i="6"/>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H15" i="7"/>
  <c r="K12" i="7"/>
  <c r="K10" i="7"/>
  <c r="J12" i="7"/>
  <c r="B12" i="6"/>
  <c r="D12" i="6"/>
  <c r="J12" i="12" s="1"/>
  <c r="AL12" i="11"/>
  <c r="I13" i="2"/>
  <c r="D16" i="2"/>
  <c r="L12" i="14"/>
  <c r="AN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K15" i="12"/>
  <c r="I11" i="12"/>
  <c r="I10" i="12"/>
  <c r="I9" i="12"/>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BU21" i="17" l="1"/>
  <c r="P9" i="11"/>
  <c r="K16" i="7"/>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<sst xmlns="http://schemas.openxmlformats.org/spreadsheetml/2006/main" count="2066" uniqueCount="903">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</sst>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899</v>
      </c>
      <c r="C10" s="375"/>
      <c r="D10" s="375"/>
      <c r="E10" s="384"/>
      <c r="F10" s="3"/>
      <c r="Q10" s="349">
        <v>0</v>
      </c>
    </row>
    <row r="11" spans="1:19" ht="13.5" thickBot="1">
      <c r="A11" s="385" t="s">
        <v>901</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P4GW5ysH5HJj4u1d1L6qilAFKTaxlr3xpxFqinJjxmuhBFuPTukgL0dhrPlESUkgdH4E4EdKHPfg+iZl+z6Sg==" saltValue="x2iXP/iXO9mB3uj2iV6E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LA RIOJA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21.716896680343154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208</v>
      </c>
      <c r="D10" s="228">
        <f>IF(ISNUMBER(Datos!I10),Datos!I10," - ")</f>
        <v>208</v>
      </c>
      <c r="E10" s="229">
        <f>IF(ISNUMBER(Datos!J10),Datos!J10," - ")</f>
        <v>56</v>
      </c>
      <c r="F10" s="229">
        <f>IF(ISNUMBER(Datos!K10),Datos!K10," - ")</f>
        <v>51</v>
      </c>
      <c r="G10" s="1037" t="str">
        <f>IF(Datos!E10&lt;&gt;"",Datos!E10,Datos!D10)</f>
        <v>37</v>
      </c>
      <c r="H10" s="230">
        <f>IF(ISNUMBER(Datos!L10),Datos!L10," - ")</f>
        <v>213</v>
      </c>
      <c r="I10" s="1047" t="str">
        <f>IF(ISNUMBER(Datos!AS10/Datos!BM10),Datos!AS10/Datos!BM10," - ")</f>
        <v xml:space="preserve"> - </v>
      </c>
      <c r="J10" s="1048">
        <f>IF(ISNUMBER(Datos!BY10/Datos!CN10),Datos!BY10/Datos!CN10," - ")</f>
        <v>0</v>
      </c>
      <c r="K10" s="233">
        <f t="shared" ref="K10:K12" si="1">IF(ISNUMBER((E10-F10)/C10),(E10-F10)/C10," - ")</f>
        <v>2.403846153846154E-2</v>
      </c>
      <c r="L10" s="1028">
        <f>IF(ISNUMBER(NºAsuntos!I10/NºAsuntos!G10),(NºAsuntos!I10/NºAsuntos!G10)*11," - ")</f>
        <v>45.941176470588239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22.963675213675216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208</v>
      </c>
      <c r="D13" s="1052">
        <f>SUBTOTAL(9,D9:D12)</f>
        <v>208</v>
      </c>
      <c r="E13" s="1053">
        <f>SUBTOTAL(9,E9:E12)</f>
        <v>56</v>
      </c>
      <c r="F13" s="1054">
        <f>SUBTOTAL(9,F9:F12)</f>
        <v>51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3245</v>
      </c>
      <c r="D15" s="228">
        <f>IF(ISNUMBER(IF(D_I="SI",Datos!I15,Datos!I15+Datos!AC15)),IF(D_I="SI",Datos!I15,Datos!I15+Datos!AC15)," - ")</f>
        <v>3200</v>
      </c>
      <c r="E15" s="229">
        <f>IF(ISNUMBER(IF(D_I="SI",Datos!J15,Datos!J15+Datos!AD15)),IF(D_I="SI",Datos!J15,Datos!J15+Datos!AD15)," - ")</f>
        <v>2082</v>
      </c>
      <c r="F15" s="229">
        <f>IF(ISNUMBER(IF(D_I="SI",Datos!K15,Datos!K15+Datos!AE15)),IF(D_I="SI",Datos!K15,Datos!K15+Datos!AE15)," - ")</f>
        <v>1928</v>
      </c>
      <c r="G15" s="1037" t="str">
        <f>IF(Datos!E15&lt;&gt;"",Datos!E15,Datos!D15)</f>
        <v>03</v>
      </c>
      <c r="H15" s="230">
        <f>IF(ISNUMBER(IF(D_I="SI",Datos!L15,Datos!L15+Datos!AF15)),IF(D_I="SI",Datos!L15,Datos!L15+Datos!AF15)," - ")</f>
        <v>3399</v>
      </c>
      <c r="I15" s="1047" t="str">
        <f>IF(ISNUMBER(Datos!AS15/Datos!BM15),Datos!AS15/Datos!BM15," - ")</f>
        <v xml:space="preserve"> - </v>
      </c>
      <c r="J15" s="1048">
        <f>IF(ISNUMBER(Datos!BY15/Datos!CN15),Datos!BY15/Datos!CN15," - ")</f>
        <v>0</v>
      </c>
      <c r="K15" s="233">
        <f t="shared" ref="K15:K17" si="3">IF(ISNUMBER((E15-F15)/C15),(E15-F15)/C15," - ")</f>
        <v>4.7457627118644069E-2</v>
      </c>
      <c r="L15" s="1028">
        <f>IF(ISNUMBER(NºAsuntos!I15/NºAsuntos!G15),(NºAsuntos!I15/NºAsuntos!G15)*11," - ")</f>
        <v>19.392634854771785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313</v>
      </c>
      <c r="D17" s="228">
        <f>IF(ISNUMBER(IF(D_I="SI",Datos!I17,Datos!I17+Datos!AC17)),IF(D_I="SI",Datos!I17,Datos!I17+Datos!AC17)," - ")</f>
        <v>313</v>
      </c>
      <c r="E17" s="229">
        <f>IF(ISNUMBER(IF(D_I="SI",Datos!J17,Datos!J17+Datos!AD17)),IF(D_I="SI",Datos!J17,Datos!J17+Datos!AD17)," - ")</f>
        <v>254</v>
      </c>
      <c r="F17" s="229">
        <f>IF(ISNUMBER(IF(D_I="SI",Datos!K17,Datos!K17+Datos!AE17)),IF(D_I="SI",Datos!K17,Datos!K17+Datos!AE17)," - ")</f>
        <v>238</v>
      </c>
      <c r="G17" s="1037" t="str">
        <f>IF(Datos!E17&lt;&gt;"",Datos!E17,Datos!D17)</f>
        <v>37</v>
      </c>
      <c r="H17" s="230">
        <f>IF(ISNUMBER(IF(D_I="SI",Datos!L17,Datos!L17+Datos!AF17)),IF(D_I="SI",Datos!L17,Datos!L17+Datos!AF17)," - ")</f>
        <v>329</v>
      </c>
      <c r="I17" s="1047" t="str">
        <f>IF(ISNUMBER(Datos!AS17/Datos!BM17),Datos!AS17/Datos!BM17," - ")</f>
        <v xml:space="preserve"> - </v>
      </c>
      <c r="J17" s="1048" t="str">
        <f>IF(ISNUMBER((Datos!BY17+Datos!BZ17)/Datos!CN17),(Datos!BY17+Datos!BZ17)/Datos!CN17," - ")</f>
        <v xml:space="preserve"> - </v>
      </c>
      <c r="K17" s="233">
        <f t="shared" si="3"/>
        <v>5.1118210862619806E-2</v>
      </c>
      <c r="L17" s="1028">
        <f>IF(ISNUMBER(NºAsuntos!I17/NºAsuntos!G17),(NºAsuntos!I17/NºAsuntos!G17)*11," - ")</f>
        <v>15.205882352941176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3558</v>
      </c>
      <c r="D18" s="1052">
        <f>SUBTOTAL(9,D15:D17)</f>
        <v>3513</v>
      </c>
      <c r="E18" s="1053">
        <f>SUBTOTAL(9,E15:E17)</f>
        <v>2336</v>
      </c>
      <c r="F18" s="1053">
        <f>SUBTOTAL(9,F15:F17)</f>
        <v>2166</v>
      </c>
      <c r="G18" s="1055" t="str">
        <f ca="1">INDIRECT(CONCATENATE("G",ROW()-1))</f>
        <v>37</v>
      </c>
      <c r="H18" s="1056">
        <f ca="1">SUMIF(G$14:G17,G18,H$14:H17)</f>
        <v>329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3766</v>
      </c>
      <c r="D19" s="1074">
        <f>SUBTOTAL(9,D9:D18)</f>
        <v>3721</v>
      </c>
      <c r="E19" s="1075">
        <f>SUBTOTAL(9,E9:E18)</f>
        <v>2392</v>
      </c>
      <c r="F19" s="1075">
        <f>SUBTOTAL(9,F9:F18)</f>
        <v>2217</v>
      </c>
      <c r="G19" s="1076"/>
      <c r="H19" s="1077">
        <f ca="1">SUMIF(B9:B18,"TOTAL",H9:H18)</f>
        <v>329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oDbq+AFERfesy2H7k/g33n9oS2ztwJAs80dVjRq5iEXRAmNoTrk09yXtCF2LpIwL2PUrXoQuTMJwK/8lqvnz3A==" saltValue="Vh5qbrIi+dR+pMtbs5m0Z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6iXpoJmsZcVtaUIP03hQolk+b1Pct/uXRbA7h6thhGs+e5h8sTE5kcIDo8vSXM5IDZ67boIxF97CjHYDyDgrNQ==" saltValue="Do8GYt5S+uty/cGXImyG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5088</v>
      </c>
      <c r="J9" s="184">
        <v>2754</v>
      </c>
      <c r="K9" s="184">
        <v>2589</v>
      </c>
      <c r="L9" s="184">
        <v>5258</v>
      </c>
      <c r="M9" s="184">
        <v>608</v>
      </c>
      <c r="N9" s="184">
        <v>927</v>
      </c>
      <c r="O9" s="184">
        <v>1546</v>
      </c>
      <c r="P9" s="184">
        <v>726</v>
      </c>
      <c r="Q9" s="184">
        <v>695</v>
      </c>
      <c r="R9" s="184">
        <v>7610</v>
      </c>
      <c r="S9" s="184">
        <v>3085</v>
      </c>
      <c r="T9" s="184">
        <v>2067</v>
      </c>
      <c r="U9" s="184">
        <v>1908</v>
      </c>
      <c r="V9" s="184">
        <v>3244</v>
      </c>
      <c r="W9" s="184">
        <v>521</v>
      </c>
      <c r="X9" s="191">
        <v>740</v>
      </c>
      <c r="Y9" s="194">
        <v>52</v>
      </c>
      <c r="Z9" s="184">
        <v>75</v>
      </c>
      <c r="AA9" s="184">
        <v>92</v>
      </c>
      <c r="AB9" s="184">
        <v>35</v>
      </c>
      <c r="AC9" s="184">
        <v>0</v>
      </c>
      <c r="AD9" s="184">
        <v>0</v>
      </c>
      <c r="AE9" s="184">
        <v>0</v>
      </c>
      <c r="AF9" s="191">
        <v>0</v>
      </c>
      <c r="AG9" s="194">
        <v>48</v>
      </c>
      <c r="AH9" s="184">
        <v>83</v>
      </c>
      <c r="AI9" s="184">
        <v>77</v>
      </c>
      <c r="AJ9" s="195">
        <v>54</v>
      </c>
      <c r="AK9" s="183">
        <v>0</v>
      </c>
      <c r="AL9" s="184">
        <v>0</v>
      </c>
      <c r="AM9" s="184">
        <v>0</v>
      </c>
      <c r="AN9" s="191">
        <v>0</v>
      </c>
      <c r="AO9" s="261">
        <v>6</v>
      </c>
      <c r="AP9" s="157">
        <v>6</v>
      </c>
      <c r="AQ9" s="157">
        <v>6</v>
      </c>
      <c r="AR9" s="196">
        <v>6</v>
      </c>
      <c r="AS9" s="341" t="s">
        <v>799</v>
      </c>
      <c r="AT9" s="198"/>
      <c r="AU9" s="197"/>
      <c r="AV9" s="198"/>
      <c r="AW9" s="197"/>
      <c r="AX9" s="198"/>
      <c r="AY9" s="123">
        <f>IF(ISNUMBER(IF(J_V="SI",S9,S9+AG9)),IF(J_V="SI",S9,S9+AG9)," - ")</f>
        <v>3133</v>
      </c>
      <c r="AZ9" s="123">
        <f>IF(ISNUMBER(IF(J_V="SI",T9,T9+AH9)),IF(J_V="SI",T9,T9+AH9)," - ")</f>
        <v>2150</v>
      </c>
      <c r="BA9" s="124">
        <f>IF(ISNUMBER(IF(J_V="SI",U9,U9+AI9)),IF(J_V="SI",U9,U9+AI9)," - ")</f>
        <v>1985</v>
      </c>
      <c r="BB9" s="124">
        <f>IF(ISNUMBER(IF(J_V="SI",V9,V9+AJ9)),IF(J_V="SI",V9,V9+AJ9)," - ")</f>
        <v>3298</v>
      </c>
      <c r="BC9" s="125">
        <f>IF(ISNUMBER(X9),X9," - ")</f>
        <v>740</v>
      </c>
      <c r="BD9" s="126">
        <f>IF(ISNUMBER(BA9/AZ9),BA9/AZ9," - ")</f>
        <v>0.92325581395348832</v>
      </c>
      <c r="BE9" s="127">
        <f>IF(ISNUMBER(BB9/BA9),BB9/BA9, " - ")</f>
        <v>1.6614609571788412</v>
      </c>
      <c r="BF9" s="127">
        <f>IF(ISNUMBER(BC9/BA9),BC9/BA9, " - ")</f>
        <v>0.37279596977329976</v>
      </c>
      <c r="BG9" s="199">
        <f>IF(ISNUMBER((AY9+AZ9)/BA9),(AY9+AZ9)/BA9," - ")</f>
        <v>2.6614609571788415</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208</v>
      </c>
      <c r="J10" s="184">
        <v>56</v>
      </c>
      <c r="K10" s="184">
        <v>51</v>
      </c>
      <c r="L10" s="184">
        <v>213</v>
      </c>
      <c r="M10" s="184">
        <v>22</v>
      </c>
      <c r="N10" s="184">
        <v>27</v>
      </c>
      <c r="O10" s="184">
        <v>2</v>
      </c>
      <c r="P10" s="184">
        <v>12</v>
      </c>
      <c r="Q10" s="184">
        <v>2</v>
      </c>
      <c r="R10" s="184">
        <v>179</v>
      </c>
      <c r="S10" s="184">
        <v>165</v>
      </c>
      <c r="T10" s="184">
        <v>47</v>
      </c>
      <c r="U10" s="184">
        <v>64</v>
      </c>
      <c r="V10" s="184">
        <v>148</v>
      </c>
      <c r="W10" s="184">
        <v>21</v>
      </c>
      <c r="X10" s="191">
        <v>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793</v>
      </c>
      <c r="AT10" s="195"/>
      <c r="AU10" s="203"/>
      <c r="AV10" s="195"/>
      <c r="AW10" s="203"/>
      <c r="AX10" s="195"/>
      <c r="AY10" s="128">
        <f t="shared" ref="AY10:BC10" si="0">IF(ISNUMBER(S10),S10," - ")</f>
        <v>165</v>
      </c>
      <c r="AZ10" s="129">
        <f t="shared" si="0"/>
        <v>47</v>
      </c>
      <c r="BA10" s="129">
        <f t="shared" si="0"/>
        <v>64</v>
      </c>
      <c r="BB10" s="129">
        <f t="shared" si="0"/>
        <v>148</v>
      </c>
      <c r="BC10" s="125">
        <f t="shared" si="0"/>
        <v>21</v>
      </c>
      <c r="BD10" s="126">
        <f>IF(ISNUMBER(BA10/AZ10),BA10/AZ10," - ")</f>
        <v>1.3617021276595744</v>
      </c>
      <c r="BE10" s="127">
        <f>IF(ISNUMBER(BB10/BA10),BB10/BA10, " - ")</f>
        <v>2.3125</v>
      </c>
      <c r="BF10" s="127">
        <f>IF(ISNUMBER(BC10/BA10),BC10/BA10, " - ")</f>
        <v>0.328125</v>
      </c>
      <c r="BG10" s="199">
        <f>IF(ISNUMBER((AY10+AZ10)/BA10),(AY10+AZ10)/BA10," - ")</f>
        <v>3.3125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958</v>
      </c>
      <c r="J11" s="186">
        <v>316</v>
      </c>
      <c r="K11" s="186">
        <v>350</v>
      </c>
      <c r="L11" s="186">
        <v>924</v>
      </c>
      <c r="M11" s="186">
        <v>169</v>
      </c>
      <c r="N11" s="186">
        <v>215</v>
      </c>
      <c r="O11" s="184">
        <v>116</v>
      </c>
      <c r="P11" s="186">
        <v>41</v>
      </c>
      <c r="Q11" s="186">
        <v>31</v>
      </c>
      <c r="R11" s="186">
        <v>620</v>
      </c>
      <c r="S11" s="186">
        <v>704</v>
      </c>
      <c r="T11" s="186">
        <v>420</v>
      </c>
      <c r="U11" s="186">
        <v>376</v>
      </c>
      <c r="V11" s="186">
        <v>748</v>
      </c>
      <c r="W11" s="186">
        <v>114</v>
      </c>
      <c r="X11" s="192">
        <v>303</v>
      </c>
      <c r="Y11" s="194">
        <v>87</v>
      </c>
      <c r="Z11" s="184">
        <v>84</v>
      </c>
      <c r="AA11" s="184">
        <v>118</v>
      </c>
      <c r="AB11" s="184">
        <v>53</v>
      </c>
      <c r="AC11" s="186">
        <v>0</v>
      </c>
      <c r="AD11" s="186">
        <v>0</v>
      </c>
      <c r="AE11" s="186">
        <v>0</v>
      </c>
      <c r="AF11" s="192">
        <v>0</v>
      </c>
      <c r="AG11" s="205">
        <v>49</v>
      </c>
      <c r="AH11" s="186">
        <v>110</v>
      </c>
      <c r="AI11" s="186">
        <v>80</v>
      </c>
      <c r="AJ11" s="206">
        <v>79</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753</v>
      </c>
      <c r="AZ11" s="127">
        <f t="shared" si="1"/>
        <v>530</v>
      </c>
      <c r="BA11" s="127">
        <f t="shared" si="1"/>
        <v>456</v>
      </c>
      <c r="BB11" s="127">
        <f t="shared" si="1"/>
        <v>827</v>
      </c>
      <c r="BC11" s="125">
        <f>IF(ISNUMBER(X11),X11," - ")</f>
        <v>303</v>
      </c>
      <c r="BD11" s="126">
        <f t="shared" ref="BD11:BD12" si="2">IF(ISNUMBER(BA11/AZ11),BA11/AZ11," - ")</f>
        <v>0.86037735849056607</v>
      </c>
      <c r="BE11" s="127">
        <f t="shared" ref="BE11:BE12" si="3">IF(ISNUMBER(BB11/BA11),BB11/BA11, " - ")</f>
        <v>1.8135964912280702</v>
      </c>
      <c r="BF11" s="127">
        <f t="shared" ref="BF11:BF12" si="4">IF(ISNUMBER(BC11/BA11),BC11/BA11, " - ")</f>
        <v>0.66447368421052633</v>
      </c>
      <c r="BG11" s="199">
        <f t="shared" ref="BG11:BG12" si="5">IF(ISNUMBER((AY11+AZ11)/BA11),(AY11+AZ11)/BA11," - ")</f>
        <v>2.8135964912280702</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0</v>
      </c>
      <c r="L12" s="186">
        <v>1</v>
      </c>
      <c r="M12" s="186">
        <v>0</v>
      </c>
      <c r="N12" s="186">
        <v>0</v>
      </c>
      <c r="O12" s="184">
        <v>0</v>
      </c>
      <c r="P12" s="186">
        <v>0</v>
      </c>
      <c r="Q12" s="186">
        <v>1</v>
      </c>
      <c r="R12" s="186">
        <v>49</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6255</v>
      </c>
      <c r="J13" s="187">
        <f t="shared" si="6"/>
        <v>3126</v>
      </c>
      <c r="K13" s="187">
        <f t="shared" si="6"/>
        <v>2990</v>
      </c>
      <c r="L13" s="187">
        <f t="shared" si="6"/>
        <v>6396</v>
      </c>
      <c r="M13" s="187">
        <f t="shared" si="6"/>
        <v>799</v>
      </c>
      <c r="N13" s="187">
        <f t="shared" si="6"/>
        <v>1169</v>
      </c>
      <c r="O13" s="187">
        <f t="shared" si="6"/>
        <v>1664</v>
      </c>
      <c r="P13" s="187">
        <f t="shared" si="6"/>
        <v>779</v>
      </c>
      <c r="Q13" s="187">
        <f t="shared" si="6"/>
        <v>729</v>
      </c>
      <c r="R13" s="187">
        <f t="shared" si="6"/>
        <v>8458</v>
      </c>
      <c r="S13" s="187">
        <f t="shared" si="6"/>
        <v>3955</v>
      </c>
      <c r="T13" s="187">
        <f t="shared" si="6"/>
        <v>2534</v>
      </c>
      <c r="U13" s="187">
        <f t="shared" si="6"/>
        <v>2348</v>
      </c>
      <c r="V13" s="187">
        <f t="shared" si="6"/>
        <v>4141</v>
      </c>
      <c r="W13" s="187">
        <f t="shared" si="6"/>
        <v>656</v>
      </c>
      <c r="X13" s="187">
        <f t="shared" si="6"/>
        <v>1058</v>
      </c>
      <c r="Y13" s="187">
        <f t="shared" si="6"/>
        <v>139</v>
      </c>
      <c r="Z13" s="187">
        <f t="shared" si="6"/>
        <v>159</v>
      </c>
      <c r="AA13" s="187">
        <f t="shared" si="6"/>
        <v>210</v>
      </c>
      <c r="AB13" s="187">
        <f t="shared" si="6"/>
        <v>88</v>
      </c>
      <c r="AC13" s="187">
        <f t="shared" si="6"/>
        <v>0</v>
      </c>
      <c r="AD13" s="187">
        <f t="shared" si="6"/>
        <v>0</v>
      </c>
      <c r="AE13" s="187">
        <f t="shared" si="6"/>
        <v>0</v>
      </c>
      <c r="AF13" s="187">
        <f>SUBTOTAL(9,AF9:AF12)</f>
        <v>0</v>
      </c>
      <c r="AG13" s="187">
        <f t="shared" ref="AG13:AT13" si="7">SUBTOTAL(9,AG8:AG12)</f>
        <v>97</v>
      </c>
      <c r="AH13" s="187">
        <f t="shared" si="7"/>
        <v>193</v>
      </c>
      <c r="AI13" s="187">
        <f t="shared" si="7"/>
        <v>157</v>
      </c>
      <c r="AJ13" s="187">
        <f t="shared" si="7"/>
        <v>133</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4052</v>
      </c>
      <c r="AZ13" s="187">
        <f>SUBTOTAL(9,AZ8:AZ12)</f>
        <v>2727</v>
      </c>
      <c r="BA13" s="187">
        <f>SUBTOTAL(9,BA8:BA12)</f>
        <v>2505</v>
      </c>
      <c r="BB13" s="187">
        <f>SUBTOTAL(9,BB8:BB12)</f>
        <v>4274</v>
      </c>
      <c r="BC13" s="187">
        <f>SUBTOTAL(9,BC8:BC12)</f>
        <v>1064</v>
      </c>
      <c r="BD13" s="208">
        <f>IF(ISNUMBER(BA13/AZ13),BA13/AZ13," - ")</f>
        <v>0.91859185918591857</v>
      </c>
      <c r="BE13" s="209">
        <f>IF(ISNUMBER(BB13/BA13),BB13/BA13, " - ")</f>
        <v>1.706187624750499</v>
      </c>
      <c r="BF13" s="209">
        <f>IF(ISNUMBER(BC13/BA13),BC13/BA13, " - ")</f>
        <v>0.42475049900199602</v>
      </c>
      <c r="BG13" s="210">
        <f>IF(ISNUMBER((AY13+AZ13)/BA13),(AY13+AZ13)/BA13," - ")</f>
        <v>2.7061876247504988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3200</v>
      </c>
      <c r="J15" s="186">
        <v>2082</v>
      </c>
      <c r="K15" s="186">
        <v>1928</v>
      </c>
      <c r="L15" s="186">
        <v>3399</v>
      </c>
      <c r="M15" s="186">
        <v>267</v>
      </c>
      <c r="N15" s="186">
        <v>1124</v>
      </c>
      <c r="O15" s="184">
        <v>115</v>
      </c>
      <c r="P15" s="186">
        <v>127</v>
      </c>
      <c r="Q15" s="186">
        <v>116</v>
      </c>
      <c r="R15" s="186">
        <v>323</v>
      </c>
      <c r="S15" s="186">
        <v>2020</v>
      </c>
      <c r="T15" s="186">
        <v>1899</v>
      </c>
      <c r="U15" s="186">
        <v>1900</v>
      </c>
      <c r="V15" s="186">
        <v>2031</v>
      </c>
      <c r="W15" s="186">
        <v>287</v>
      </c>
      <c r="X15" s="192">
        <v>1101</v>
      </c>
      <c r="Y15" s="205">
        <v>0</v>
      </c>
      <c r="Z15" s="186">
        <v>0</v>
      </c>
      <c r="AA15" s="186">
        <v>0</v>
      </c>
      <c r="AB15" s="186">
        <v>0</v>
      </c>
      <c r="AC15" s="186">
        <v>5</v>
      </c>
      <c r="AD15" s="186">
        <v>43</v>
      </c>
      <c r="AE15" s="186">
        <v>26</v>
      </c>
      <c r="AF15" s="192">
        <v>22</v>
      </c>
      <c r="AG15" s="205">
        <v>0</v>
      </c>
      <c r="AH15" s="186">
        <v>0</v>
      </c>
      <c r="AI15" s="186">
        <v>0</v>
      </c>
      <c r="AJ15" s="206">
        <v>0</v>
      </c>
      <c r="AK15" s="185">
        <v>0</v>
      </c>
      <c r="AL15" s="186">
        <v>16</v>
      </c>
      <c r="AM15" s="186">
        <v>16</v>
      </c>
      <c r="AN15" s="192">
        <v>0</v>
      </c>
      <c r="AO15" s="262">
        <v>3</v>
      </c>
      <c r="AP15" s="158">
        <v>3</v>
      </c>
      <c r="AQ15" s="158">
        <v>3</v>
      </c>
      <c r="AR15" s="158">
        <v>3</v>
      </c>
      <c r="AS15" s="343" t="s">
        <v>526</v>
      </c>
      <c r="AT15" s="206" t="s">
        <v>325</v>
      </c>
      <c r="AU15" s="205"/>
      <c r="AV15" s="206"/>
      <c r="AW15" s="205"/>
      <c r="AX15" s="206"/>
      <c r="AY15" s="128">
        <f t="shared" ref="AY15:BB16" si="9">IF(ISNUMBER(IF(D_I="SI",S15,S15+AK15)),IF(D_I="SI",S15,S15+AK15)," - ")</f>
        <v>2020</v>
      </c>
      <c r="AZ15" s="129">
        <f t="shared" si="9"/>
        <v>1899</v>
      </c>
      <c r="BA15" s="129">
        <f t="shared" si="9"/>
        <v>1900</v>
      </c>
      <c r="BB15" s="129">
        <f t="shared" si="9"/>
        <v>2031</v>
      </c>
      <c r="BC15" s="125">
        <f>IF(ISNUMBER(W15),W15," - ")</f>
        <v>287</v>
      </c>
      <c r="BD15" s="126">
        <f>IF(ISNUMBER(BA15/AZ15),BA15/AZ15," - ")</f>
        <v>1.0005265929436546</v>
      </c>
      <c r="BE15" s="127">
        <f>IF(ISNUMBER(BB15/BA15),BB15/BA15, " - ")</f>
        <v>1.0689473684210526</v>
      </c>
      <c r="BF15" s="127">
        <f>IF(ISNUMBER(BC15/BA15),BC15/BA15, " - ")</f>
        <v>0.15105263157894736</v>
      </c>
      <c r="BG15" s="199">
        <f t="shared" ref="BG15:BG16" si="10">IF(ISNUMBER((AY15+AZ15)/BA15),(AY15+AZ15)/BA15," - ")</f>
        <v>2.0626315789473684</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313</v>
      </c>
      <c r="J17" s="186">
        <v>254</v>
      </c>
      <c r="K17" s="186">
        <v>238</v>
      </c>
      <c r="L17" s="186">
        <v>329</v>
      </c>
      <c r="M17" s="186">
        <v>38</v>
      </c>
      <c r="N17" s="186">
        <v>153</v>
      </c>
      <c r="O17" s="186">
        <v>0</v>
      </c>
      <c r="P17" s="186">
        <v>2</v>
      </c>
      <c r="Q17" s="186">
        <v>2</v>
      </c>
      <c r="R17" s="186">
        <v>5</v>
      </c>
      <c r="S17" s="186">
        <v>245</v>
      </c>
      <c r="T17" s="186">
        <v>183</v>
      </c>
      <c r="U17" s="186">
        <v>166</v>
      </c>
      <c r="V17" s="186">
        <v>262</v>
      </c>
      <c r="W17" s="186">
        <v>31</v>
      </c>
      <c r="X17" s="192">
        <v>94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792</v>
      </c>
      <c r="AT17" s="212"/>
      <c r="AU17" s="203"/>
      <c r="AV17" s="212"/>
      <c r="AW17" s="203"/>
      <c r="AX17" s="212"/>
      <c r="AY17" s="128">
        <f t="shared" ref="AY17:BB17" si="14">IF(ISNUMBER(S17),S17," - ")</f>
        <v>245</v>
      </c>
      <c r="AZ17" s="129">
        <f t="shared" si="14"/>
        <v>183</v>
      </c>
      <c r="BA17" s="129">
        <f t="shared" si="14"/>
        <v>166</v>
      </c>
      <c r="BB17" s="129">
        <f t="shared" si="14"/>
        <v>262</v>
      </c>
      <c r="BC17" s="125">
        <f>IF(ISNUMBER(W17),W17," - ")</f>
        <v>31</v>
      </c>
      <c r="BD17" s="126">
        <f>IF(ISNUMBER(BA17/AZ17),BA17/AZ17," - ")</f>
        <v>0.90710382513661203</v>
      </c>
      <c r="BE17" s="127">
        <f>IF(ISNUMBER(BB17/BA17),BB17/BA17, " - ")</f>
        <v>1.5783132530120483</v>
      </c>
      <c r="BF17" s="127">
        <f>IF(ISNUMBER(BC17/BA17),BC17/BA17, " - ")</f>
        <v>0.18674698795180722</v>
      </c>
      <c r="BG17" s="199">
        <f>IF(ISNUMBER((AY17+AZ17)/BA17),(AY17+AZ17)/BA17," - ")</f>
        <v>2.5783132530120483</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3513</v>
      </c>
      <c r="J18" s="187">
        <f t="shared" si="15"/>
        <v>2336</v>
      </c>
      <c r="K18" s="187">
        <f t="shared" si="15"/>
        <v>2166</v>
      </c>
      <c r="L18" s="187">
        <f t="shared" si="15"/>
        <v>3728</v>
      </c>
      <c r="M18" s="187">
        <f t="shared" si="15"/>
        <v>305</v>
      </c>
      <c r="N18" s="187">
        <f t="shared" si="15"/>
        <v>1277</v>
      </c>
      <c r="O18" s="187">
        <f t="shared" si="15"/>
        <v>115</v>
      </c>
      <c r="P18" s="187">
        <f t="shared" si="15"/>
        <v>129</v>
      </c>
      <c r="Q18" s="187">
        <f t="shared" si="15"/>
        <v>118</v>
      </c>
      <c r="R18" s="187">
        <f t="shared" si="15"/>
        <v>328</v>
      </c>
      <c r="S18" s="187">
        <f t="shared" si="15"/>
        <v>2265</v>
      </c>
      <c r="T18" s="187">
        <f t="shared" si="15"/>
        <v>2082</v>
      </c>
      <c r="U18" s="187">
        <f t="shared" si="15"/>
        <v>2066</v>
      </c>
      <c r="V18" s="187">
        <f t="shared" si="15"/>
        <v>2293</v>
      </c>
      <c r="W18" s="187">
        <f t="shared" si="15"/>
        <v>318</v>
      </c>
      <c r="X18" s="187">
        <f t="shared" si="15"/>
        <v>1195</v>
      </c>
      <c r="Y18" s="187">
        <f t="shared" si="15"/>
        <v>0</v>
      </c>
      <c r="Z18" s="187">
        <f t="shared" si="15"/>
        <v>0</v>
      </c>
      <c r="AA18" s="187">
        <f t="shared" si="15"/>
        <v>0</v>
      </c>
      <c r="AB18" s="187">
        <f t="shared" si="15"/>
        <v>0</v>
      </c>
      <c r="AC18" s="187">
        <f t="shared" si="15"/>
        <v>5</v>
      </c>
      <c r="AD18" s="187">
        <f t="shared" si="15"/>
        <v>43</v>
      </c>
      <c r="AE18" s="187">
        <f t="shared" si="15"/>
        <v>26</v>
      </c>
      <c r="AF18" s="187">
        <f t="shared" si="15"/>
        <v>22</v>
      </c>
      <c r="AG18" s="187">
        <f t="shared" si="15"/>
        <v>0</v>
      </c>
      <c r="AH18" s="187">
        <f t="shared" si="15"/>
        <v>0</v>
      </c>
      <c r="AI18" s="187">
        <f t="shared" si="15"/>
        <v>0</v>
      </c>
      <c r="AJ18" s="187">
        <f t="shared" si="15"/>
        <v>0</v>
      </c>
      <c r="AK18" s="187">
        <f t="shared" si="15"/>
        <v>0</v>
      </c>
      <c r="AL18" s="187">
        <f t="shared" si="15"/>
        <v>16</v>
      </c>
      <c r="AM18" s="187">
        <f t="shared" si="15"/>
        <v>16</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2265</v>
      </c>
      <c r="AZ18" s="187">
        <f>SUBTOTAL(9,AZ14:AZ17)</f>
        <v>2082</v>
      </c>
      <c r="BA18" s="187">
        <f>SUBTOTAL(9,BA14:BA17)</f>
        <v>2066</v>
      </c>
      <c r="BB18" s="187">
        <f>SUBTOTAL(9,BB14:BB17)</f>
        <v>2293</v>
      </c>
      <c r="BC18" s="187">
        <f>SUBTOTAL(9,BC14:BC17)</f>
        <v>318</v>
      </c>
      <c r="BD18" s="208">
        <f>IF(ISNUMBER(BA18/AZ18),BA18/AZ18," - ")</f>
        <v>0.99231508165225746</v>
      </c>
      <c r="BE18" s="209">
        <f>IF(ISNUMBER(BB18/BA18),BB18/BA18, " - ")</f>
        <v>1.1098741529525653</v>
      </c>
      <c r="BF18" s="209">
        <f>IF(ISNUMBER(BC18/BA18),BC18/BA18, " - ")</f>
        <v>0.15392061955469508</v>
      </c>
      <c r="BG18" s="210">
        <f>IF(ISNUMBER((AY18+AZ18)/BA18),(AY18+AZ18)/BA18," - ")</f>
        <v>2.1040658276863504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9768</v>
      </c>
      <c r="J19" s="134">
        <f t="shared" si="18"/>
        <v>5462</v>
      </c>
      <c r="K19" s="134">
        <f t="shared" si="18"/>
        <v>5156</v>
      </c>
      <c r="L19" s="134">
        <f t="shared" si="18"/>
        <v>10124</v>
      </c>
      <c r="M19" s="134">
        <f t="shared" si="18"/>
        <v>1104</v>
      </c>
      <c r="N19" s="134">
        <f t="shared" si="18"/>
        <v>2446</v>
      </c>
      <c r="O19" s="134">
        <f t="shared" si="18"/>
        <v>1779</v>
      </c>
      <c r="P19" s="134">
        <f t="shared" si="18"/>
        <v>908</v>
      </c>
      <c r="Q19" s="134">
        <f t="shared" si="18"/>
        <v>847</v>
      </c>
      <c r="R19" s="134">
        <f t="shared" si="18"/>
        <v>8786</v>
      </c>
      <c r="S19" s="134">
        <f t="shared" si="18"/>
        <v>6220</v>
      </c>
      <c r="T19" s="134">
        <f t="shared" si="18"/>
        <v>4616</v>
      </c>
      <c r="U19" s="134">
        <f t="shared" si="18"/>
        <v>4414</v>
      </c>
      <c r="V19" s="134">
        <f t="shared" si="18"/>
        <v>6434</v>
      </c>
      <c r="W19" s="134">
        <f t="shared" si="18"/>
        <v>974</v>
      </c>
      <c r="X19" s="134">
        <f t="shared" si="18"/>
        <v>2253</v>
      </c>
      <c r="Y19" s="134">
        <f t="shared" si="18"/>
        <v>139</v>
      </c>
      <c r="Z19" s="134">
        <f t="shared" si="18"/>
        <v>159</v>
      </c>
      <c r="AA19" s="134">
        <f t="shared" si="18"/>
        <v>210</v>
      </c>
      <c r="AB19" s="134">
        <f t="shared" si="18"/>
        <v>88</v>
      </c>
      <c r="AC19" s="134">
        <f t="shared" si="18"/>
        <v>5</v>
      </c>
      <c r="AD19" s="134">
        <f t="shared" si="18"/>
        <v>43</v>
      </c>
      <c r="AE19" s="134">
        <f t="shared" si="18"/>
        <v>26</v>
      </c>
      <c r="AF19" s="134">
        <f t="shared" si="18"/>
        <v>22</v>
      </c>
      <c r="AG19" s="134">
        <f t="shared" si="18"/>
        <v>97</v>
      </c>
      <c r="AH19" s="134">
        <f t="shared" si="18"/>
        <v>193</v>
      </c>
      <c r="AI19" s="134">
        <f t="shared" si="18"/>
        <v>157</v>
      </c>
      <c r="AJ19" s="134">
        <f t="shared" si="18"/>
        <v>133</v>
      </c>
      <c r="AK19" s="134">
        <f t="shared" si="18"/>
        <v>0</v>
      </c>
      <c r="AL19" s="134">
        <f t="shared" si="18"/>
        <v>16</v>
      </c>
      <c r="AM19" s="134">
        <f t="shared" si="18"/>
        <v>16</v>
      </c>
      <c r="AN19" s="213">
        <f t="shared" si="18"/>
        <v>0</v>
      </c>
      <c r="AO19" s="214">
        <v>11</v>
      </c>
      <c r="AP19" s="214">
        <v>11</v>
      </c>
      <c r="AQ19" s="214">
        <v>11</v>
      </c>
      <c r="AR19" s="214">
        <v>11</v>
      </c>
      <c r="AS19" s="156">
        <f t="shared" si="18"/>
        <v>0</v>
      </c>
      <c r="AT19" s="156">
        <f t="shared" si="18"/>
        <v>0</v>
      </c>
      <c r="AU19" s="214"/>
      <c r="AV19" s="215"/>
      <c r="AW19" s="214"/>
      <c r="AX19" s="215"/>
      <c r="AY19" s="133">
        <f>SUBTOTAL(9,AY9:AY18)</f>
        <v>6317</v>
      </c>
      <c r="AZ19" s="134">
        <f>SUBTOTAL(9,AZ9:AZ18)</f>
        <v>4809</v>
      </c>
      <c r="BA19" s="134">
        <f>SUBTOTAL(9,BA9:BA18)</f>
        <v>4571</v>
      </c>
      <c r="BB19" s="134">
        <f>SUBTOTAL(9,BB9:BB18)</f>
        <v>6567</v>
      </c>
      <c r="BC19" s="135">
        <f>SUBTOTAL(9,BC9:BC18)</f>
        <v>1382</v>
      </c>
      <c r="BD19" s="216">
        <f>IF(ISNUMBER(BA19/AZ19),BA19/AZ19," - ")</f>
        <v>0.95050946142649195</v>
      </c>
      <c r="BE19" s="213">
        <f>IF(ISNUMBER(BB19/BA19),BB19/BA19, " - ")</f>
        <v>1.4366659374316342</v>
      </c>
      <c r="BF19" s="213">
        <f>IF(ISNUMBER(BC19/BA19),BC19/BA19, " - ")</f>
        <v>0.30234084445416759</v>
      </c>
      <c r="BG19" s="135">
        <f>IF(ISNUMBER((AY19+AZ19)/BA19),(AY19+AZ19)/BA19," - ")</f>
        <v>2.4340406913148107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FwqOjb9gsQZslQrHovUcLAnSlIDNJkZ/ElaKkUcBcMyHyzRyAOvamOo9OUA8Z2VUJROh38oN9IGyK8AuFzIA==" saltValue="XZySDq2nbxIo5hbbjaDi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spwXPEXyH+GqJij8uzA1cuGIYaE14y5Vf2lHE1UFfoD1DW9nPaLwqkvddeq9Ivnw4NoXM6jwOwLF9KxVcoz9g==" saltValue="453UZDrHKCFBHcD64JUz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LOGROÑO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245</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75</v>
      </c>
      <c r="O9" s="337"/>
      <c r="P9" s="337"/>
      <c r="Q9" s="229">
        <f>IF(ISNUMBER(Datos!P9),Datos!P9,0)</f>
        <v>726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695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35</v>
      </c>
      <c r="AI9" s="337" t="str">
        <f>IF(ISNUMBER(Datos!CD9),Datos!CD9,"-")</f>
        <v>-</v>
      </c>
      <c r="AJ9" s="337" t="str">
        <f>IF(ISNUMBER(Datos!EN9),Datos!EN9," - ")</f>
        <v xml:space="preserve"> - </v>
      </c>
      <c r="AK9" s="337"/>
      <c r="AL9" s="482"/>
      <c r="AM9" s="338">
        <f>IF(ISNUMBER(Datos!R9),Datos!R9," - ")</f>
        <v>7610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608</v>
      </c>
      <c r="BD9" s="232">
        <f>IF(ISNUMBER(Datos!N9),Datos!N9," - ")</f>
        <v>927</v>
      </c>
      <c r="BE9" s="232" t="str">
        <f>IF(ISNUMBER(Datos!BW9),Datos!BW9," - ")</f>
        <v xml:space="preserve"> - </v>
      </c>
      <c r="BF9" s="231" t="str">
        <f>IF(ISNUMBER(Datos!BX9),Datos!BX9," - ")</f>
        <v xml:space="preserve"> - </v>
      </c>
      <c r="BG9" s="246">
        <f>IF(ISNUMBER(IF(J_V="SI",Datos!K9/Datos!J9,(Datos!K9+Datos!AA9)/(Datos!J9+Datos!Z9))),IF(J_V="SI",Datos!K9/Datos!J9,(Datos!K9+Datos!AA9)/(Datos!J9+Datos!Z9))," - ")</f>
        <v>0.94768469423824675</v>
      </c>
      <c r="BH9" s="263">
        <f>IF(ISNUMBER(((IF(J_V="SI",Datos!L9/Datos!K9,(Datos!L9+Datos!AB9)/(Datos!K9+Datos!AA9)))*11)/factor_trimestre),((IF(J_V="SI",Datos!L9/Datos!K9,(Datos!L9+Datos!AB9)/(Datos!K9+Datos!AA9)))*11)/factor_trimestre," - ")</f>
        <v>5.9227900037299515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4.0902493732682408E-3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1</v>
      </c>
      <c r="F10" s="228">
        <f>IF(ISNUMBER(Datos!L10+Datos!K10-Datos!J10),Datos!L10+Datos!K10-Datos!J10," - ")</f>
        <v>208</v>
      </c>
      <c r="G10" s="336">
        <f>IF(ISNUMBER(Datos!I10),Datos!I10," - ")</f>
        <v>208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51</v>
      </c>
      <c r="AC10" s="229">
        <f>IF(ISNUMBER(Datos!Q10),Datos!Q10," - ")</f>
        <v>2</v>
      </c>
      <c r="AD10" s="337"/>
      <c r="AE10" s="487"/>
      <c r="AF10" s="335">
        <f>IF(ISNUMBER(Datos!L10),Datos!L10,"-")</f>
        <v>213</v>
      </c>
      <c r="AG10" s="337"/>
      <c r="AH10" s="337"/>
      <c r="AI10" s="337"/>
      <c r="AJ10" s="337"/>
      <c r="AK10" s="337"/>
      <c r="AL10" s="482"/>
      <c r="AM10" s="338">
        <f>IF(ISNUMBER(Datos!R10),Datos!R10," - ")</f>
        <v>179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22</v>
      </c>
      <c r="BD10" s="232">
        <f>IF(ISNUMBER(Datos!N10),Datos!N10," - ")</f>
        <v>27</v>
      </c>
      <c r="BE10" s="232" t="str">
        <f>IF(ISNUMBER(Datos!BW10),Datos!BW10," - ")</f>
        <v xml:space="preserve"> - </v>
      </c>
      <c r="BF10" s="231" t="str">
        <f>IF(ISNUMBER(Datos!BX10),Datos!BX10," - ")</f>
        <v xml:space="preserve"> - </v>
      </c>
      <c r="BG10" s="246">
        <f>IF(ISNUMBER(Datos!K10/Datos!J10),Datos!K10/Datos!J10," - ")</f>
        <v>0.9107142857142857</v>
      </c>
      <c r="BH10" s="263">
        <f>IF(ISNUMBER(((Datos!L10/Datos!K10)*11)/factor_trimestre),((Datos!L10/Datos!K10)*11)/factor_trimestre," - ")</f>
        <v>12.529411764705884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5.9171597633136092E-2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84</v>
      </c>
      <c r="O11" s="337"/>
      <c r="P11" s="337"/>
      <c r="Q11" s="229">
        <f>IF(ISNUMBER(Datos!P11),Datos!P11,0)</f>
        <v>41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31</v>
      </c>
      <c r="AD11" s="337"/>
      <c r="AE11" s="487"/>
      <c r="AF11" s="335" t="str">
        <f>IF(ISNUMBER(IF(J_V="SI",Datos!L11,Datos!L11+Datos!AB11)-IF(Monitorios="SI",Datos!CD11,0)),
                          IF(J_V="SI",Datos!L11,Datos!L11+Datos!AB11)-IF(Monitorios="SI",Datos!CD11,0),
                          " - ")</f>
        <v xml:space="preserve"> - </v>
      </c>
      <c r="AG11" s="337"/>
      <c r="AH11" s="337">
        <f>IF(ISNUMBER(Datos!AB11),Datos!AB11,"-")</f>
        <v>53</v>
      </c>
      <c r="AI11" s="337"/>
      <c r="AJ11" s="337"/>
      <c r="AK11" s="337"/>
      <c r="AL11" s="482"/>
      <c r="AM11" s="338">
        <f>IF(ISNUMBER(Datos!R11),Datos!R11," - ")</f>
        <v>620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169</v>
      </c>
      <c r="BD11" s="232">
        <f>IF(ISNUMBER(Datos!N11),Datos!N11," - ")</f>
        <v>215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1.17</v>
      </c>
      <c r="BH11" s="263">
        <f>IF(ISNUMBER(((IF(J_V="SI",Datos!L11/Datos!K11,(Datos!L11+Datos!AB11)/(Datos!K11+Datos!AA11)))*11)/factor_trimestre),((IF(J_V="SI",Datos!L11/Datos!K11,(Datos!L11+Datos!AB11)/(Datos!K11+Datos!AA11)))*11)/factor_trimestre," - ")</f>
        <v>6.2628205128205137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1.6393442622950821E-2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-0.02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208</v>
      </c>
      <c r="G13" s="901">
        <f t="shared" si="0"/>
        <v>208</v>
      </c>
      <c r="H13" s="902">
        <f t="shared" si="0"/>
        <v>0</v>
      </c>
      <c r="I13" s="901">
        <f t="shared" si="0"/>
        <v>0</v>
      </c>
      <c r="J13" s="870">
        <f t="shared" si="0"/>
        <v>0</v>
      </c>
      <c r="K13" s="870">
        <f t="shared" si="0"/>
        <v>0</v>
      </c>
      <c r="L13" s="902">
        <f t="shared" si="0"/>
        <v>0</v>
      </c>
      <c r="M13" s="902">
        <f t="shared" si="0"/>
        <v>0</v>
      </c>
      <c r="N13" s="902">
        <f t="shared" si="0"/>
        <v>159</v>
      </c>
      <c r="O13" s="903">
        <f t="shared" si="0"/>
        <v>0</v>
      </c>
      <c r="P13" s="903">
        <f t="shared" si="0"/>
        <v>0</v>
      </c>
      <c r="Q13" s="902">
        <f t="shared" si="0"/>
        <v>779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51</v>
      </c>
      <c r="AC13" s="902">
        <f t="shared" si="1"/>
        <v>729</v>
      </c>
      <c r="AD13" s="902">
        <f t="shared" si="1"/>
        <v>0</v>
      </c>
      <c r="AE13" s="902">
        <f t="shared" si="1"/>
        <v>0</v>
      </c>
      <c r="AF13" s="902">
        <f t="shared" si="1"/>
        <v>213</v>
      </c>
      <c r="AG13" s="902">
        <f t="shared" si="1"/>
        <v>0</v>
      </c>
      <c r="AH13" s="902">
        <f t="shared" si="1"/>
        <v>88</v>
      </c>
      <c r="AI13" s="902">
        <f t="shared" si="1"/>
        <v>0</v>
      </c>
      <c r="AJ13" s="902">
        <f t="shared" si="1"/>
        <v>0</v>
      </c>
      <c r="AK13" s="902">
        <f t="shared" si="1"/>
        <v>0</v>
      </c>
      <c r="AL13" s="902">
        <f t="shared" si="1"/>
        <v>0</v>
      </c>
      <c r="AM13" s="902">
        <f t="shared" si="1"/>
        <v>8458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799</v>
      </c>
      <c r="BD13" s="902">
        <f t="shared" si="1"/>
        <v>1169</v>
      </c>
      <c r="BE13" s="902">
        <f t="shared" si="1"/>
        <v>0</v>
      </c>
      <c r="BF13" s="902">
        <f t="shared" si="1"/>
        <v>0</v>
      </c>
      <c r="BG13" s="902">
        <f>IF(ISNUMBER(Datos!K13/Datos!J13),Datos!K13/Datos!J13," - ")</f>
        <v>0.95649392194497762</v>
      </c>
      <c r="BH13" s="906">
        <f>IF(ISNUMBER(((Datos!L13/Datos!K13)*11)/factor_trimestre),((Datos!L13/Datos!K13)*11)/factor_trimestre," - ")</f>
        <v>6.4173913043478272</v>
      </c>
      <c r="BI13" s="902">
        <f>IF(ISNUMBER('Resol  Asuntos'!D13/NºAsuntos!G13),'Resol  Asuntos'!D13/NºAsuntos!G13," - ")</f>
        <v>0.24968750000000001</v>
      </c>
      <c r="BJ13" s="902" t="str">
        <f>IF(ISNUMBER(Datos!CI13/Datos!CJ13),Datos!CI13/Datos!CJ13," - ")</f>
        <v xml:space="preserve"> - </v>
      </c>
      <c r="BK13" s="902">
        <f>SUBTOTAL(9,BK8:BK12)</f>
        <v>0</v>
      </c>
      <c r="BL13" s="902">
        <f>IF(ISNUMBER((I13-AB13+L13)/(F13)),(I13-AB13+L13)/(F13)," - ")</f>
        <v>-0.24519230769230768</v>
      </c>
      <c r="BM13" s="907">
        <f>SUBTOTAL(9,BM9:BM12)</f>
        <v>5.9655289629355152E-2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3245</v>
      </c>
      <c r="G15" s="601">
        <f>IF(ISNUMBER(IF(D_I="SI",Datos!I15,Datos!I15+Datos!AC15)),IF(D_I="SI",Datos!I15,Datos!I15+Datos!AC15)," - ")</f>
        <v>3200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127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1928</v>
      </c>
      <c r="AC15" s="229">
        <f>IF(ISNUMBER(Datos!Q15),Datos!Q15," - ")</f>
        <v>116</v>
      </c>
      <c r="AD15" s="337"/>
      <c r="AE15" s="487"/>
      <c r="AF15" s="599">
        <f>IF(ISNUMBER(IF(D_I="SI",Datos!L15,Datos!L15+Datos!AF15)),IF(D_I="SI",Datos!L15,Datos!L15+Datos!AF15)," - ")</f>
        <v>3399</v>
      </c>
      <c r="AG15" s="337"/>
      <c r="AH15" s="337"/>
      <c r="AI15" s="337"/>
      <c r="AJ15" s="337"/>
      <c r="AK15" s="337"/>
      <c r="AL15" s="482"/>
      <c r="AM15" s="338">
        <f>IF(ISNUMBER(Datos!R15),Datos!R15," - ")</f>
        <v>323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267</v>
      </c>
      <c r="BD15" s="232">
        <f>IF(ISNUMBER(Datos!N15),Datos!N15," - ")</f>
        <v>1124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0.92603266090297787</v>
      </c>
      <c r="BH15" s="263">
        <f>IF(ISNUMBER(((IF(D_I="SI",Datos!L15/Datos!K15,(Datos!L15+Datos!AF15)/(Datos!K15+Datos!AE15)))*11)/factor_trimestre),((IF(D_I="SI",Datos!L15/Datos!K15,(Datos!L15+Datos!AF15)/(Datos!K15+Datos!AE15)))*11)/factor_trimestre," - ")</f>
        <v>5.2889004149377596</v>
      </c>
      <c r="BI15" s="246">
        <f>IF(ISNUMBER('Resol  Asuntos'!D15/NºAsuntos!G15),'Resol  Asuntos'!D15/NºAsuntos!G15," - ")</f>
        <v>0.13848547717842324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238</v>
      </c>
      <c r="AC17" s="229">
        <f>IF(ISNUMBER(Datos!Q17),Datos!Q17," - ")</f>
        <v>2</v>
      </c>
      <c r="AD17" s="337"/>
      <c r="AE17" s="487"/>
      <c r="AF17" s="335">
        <f>IF(ISNUMBER(Datos!L17),Datos!L17,"-")</f>
        <v>329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38</v>
      </c>
      <c r="BD17" s="232">
        <f>IF(ISNUMBER(Datos!N17),Datos!N17," - ")</f>
        <v>153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0.93700787401574803</v>
      </c>
      <c r="BH17" s="263">
        <f>IF(ISNUMBER(((IF(D_I="SI",Datos!L17/Datos!K17,(Datos!L17+Datos!AF17)/(Datos!K17+Datos!AE17)))*11)/factor_trimestre),((IF(D_I="SI",Datos!L17/Datos!K17,(Datos!L17+Datos!AF17)/(Datos!K17+Datos!AE17)))*11)/factor_trimestre," - ")</f>
        <v>4.1470588235294121</v>
      </c>
      <c r="BI17" s="246">
        <f>IF(ISNUMBER('Resol  Asuntos'!D17/NºAsuntos!G17),'Resol  Asuntos'!D17/NºAsuntos!G17," - ")</f>
        <v>0.15966386554621848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3245</v>
      </c>
      <c r="G18" s="901">
        <f>SUBTOTAL(9,G15:G17)</f>
        <v>3513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2166</v>
      </c>
      <c r="AC18" s="902">
        <f t="shared" si="4"/>
        <v>118</v>
      </c>
      <c r="AD18" s="902">
        <f t="shared" si="4"/>
        <v>0</v>
      </c>
      <c r="AE18" s="902">
        <f t="shared" si="4"/>
        <v>0</v>
      </c>
      <c r="AF18" s="902">
        <f t="shared" si="4"/>
        <v>3728</v>
      </c>
      <c r="AG18" s="902">
        <f t="shared" si="4"/>
        <v>0</v>
      </c>
      <c r="AH18" s="902">
        <f t="shared" si="4"/>
        <v>0</v>
      </c>
      <c r="AI18" s="902">
        <f t="shared" si="4"/>
        <v>0</v>
      </c>
      <c r="AJ18" s="902">
        <f t="shared" si="4"/>
        <v>0</v>
      </c>
      <c r="AK18" s="902">
        <f t="shared" si="4"/>
        <v>0</v>
      </c>
      <c r="AL18" s="902">
        <f t="shared" si="4"/>
        <v>0</v>
      </c>
      <c r="AM18" s="902">
        <f t="shared" si="4"/>
        <v>328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305</v>
      </c>
      <c r="BD18" s="902">
        <f t="shared" si="4"/>
        <v>1277</v>
      </c>
      <c r="BE18" s="902">
        <f t="shared" si="4"/>
        <v>0</v>
      </c>
      <c r="BF18" s="902">
        <f t="shared" si="4"/>
        <v>0</v>
      </c>
      <c r="BG18" s="902">
        <f>IF(ISNUMBER(Datos!K18/Datos!J18),Datos!K18/Datos!J18," - ")</f>
        <v>0.92722602739726023</v>
      </c>
      <c r="BH18" s="906">
        <f>IF(ISNUMBER(((Datos!L18/Datos!K18)*11)/factor_trimestre),((Datos!L18/Datos!K18)*11)/factor_trimestre," - ")</f>
        <v>5.163434903047091</v>
      </c>
      <c r="BI18" s="902">
        <f>SUBTOTAL(9,BI15:BI17)</f>
        <v>0.29814934272464172</v>
      </c>
      <c r="BJ18" s="902">
        <f>SUBTOTAL(9,BJ15:BJ17)</f>
        <v>0</v>
      </c>
      <c r="BK18" s="902">
        <f>SUBTOTAL(9,BK15:BK17)</f>
        <v>0</v>
      </c>
      <c r="BL18" s="902">
        <f>IF(ISNUMBER((I18-AB18+L18)/(F18)),(I18-AB18+L18)/(F18)," - ")</f>
        <v>-0.66748844375963023</v>
      </c>
      <c r="BM18" s="908">
        <f>IF(ISNUMBER((Datos!P18-Datos!Q18)/(Datos!R18-Datos!P18+Datos!Q18)),(Datos!P18-Datos!Q18)/(Datos!R18-Datos!P18+Datos!Q18)," - ")</f>
        <v>3.4700315457413249E-2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3453</v>
      </c>
      <c r="G19" s="823">
        <f t="shared" si="6"/>
        <v>3721</v>
      </c>
      <c r="H19" s="825">
        <f t="shared" si="6"/>
        <v>0</v>
      </c>
      <c r="I19" s="823">
        <f t="shared" si="6"/>
        <v>0</v>
      </c>
      <c r="J19" s="825">
        <f t="shared" si="6"/>
        <v>0</v>
      </c>
      <c r="K19" s="825">
        <f t="shared" si="6"/>
        <v>0</v>
      </c>
      <c r="L19" s="884">
        <f t="shared" si="6"/>
        <v>0</v>
      </c>
      <c r="M19" s="884">
        <f t="shared" si="6"/>
        <v>0</v>
      </c>
      <c r="N19" s="884">
        <f t="shared" si="6"/>
        <v>159</v>
      </c>
      <c r="O19" s="884">
        <f t="shared" si="6"/>
        <v>0</v>
      </c>
      <c r="P19" s="884">
        <f t="shared" si="6"/>
        <v>0</v>
      </c>
      <c r="Q19" s="825">
        <f t="shared" si="6"/>
        <v>908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2217</v>
      </c>
      <c r="AC19" s="824">
        <f t="shared" si="7"/>
        <v>847</v>
      </c>
      <c r="AD19" s="824">
        <f t="shared" si="7"/>
        <v>0</v>
      </c>
      <c r="AE19" s="824">
        <f t="shared" si="7"/>
        <v>0</v>
      </c>
      <c r="AF19" s="831">
        <f t="shared" si="7"/>
        <v>3941</v>
      </c>
      <c r="AG19" s="831">
        <f t="shared" si="7"/>
        <v>0</v>
      </c>
      <c r="AH19" s="831">
        <f t="shared" si="7"/>
        <v>88</v>
      </c>
      <c r="AI19" s="831">
        <f t="shared" si="7"/>
        <v>0</v>
      </c>
      <c r="AJ19" s="824">
        <f t="shared" si="7"/>
        <v>0</v>
      </c>
      <c r="AK19" s="831">
        <f t="shared" si="7"/>
        <v>0</v>
      </c>
      <c r="AL19" s="831">
        <f t="shared" si="7"/>
        <v>0</v>
      </c>
      <c r="AM19" s="831">
        <f t="shared" si="7"/>
        <v>8786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1104</v>
      </c>
      <c r="BD19" s="823">
        <f t="shared" si="7"/>
        <v>2446</v>
      </c>
      <c r="BE19" s="823">
        <f t="shared" si="7"/>
        <v>0</v>
      </c>
      <c r="BF19" s="833">
        <f t="shared" si="7"/>
        <v>0</v>
      </c>
      <c r="BG19" s="918">
        <f>IF(ISNUMBER(Datos!K19/Datos!J19),Datos!K19/Datos!J19," - ")</f>
        <v>0.94397656536067376</v>
      </c>
      <c r="BH19" s="918">
        <f>IF(ISNUMBER(((Datos!L19/Datos!K19)*11)/factor_trimestre),((Datos!L19/Datos!K19)*11)/factor_trimestre," - ")</f>
        <v>5.8906128782001552</v>
      </c>
      <c r="BI19" s="816">
        <f>IF(ISNUMBER(Datos!J19/Datos!I19),Datos!J19/Datos!I19," - ")</f>
        <v>0.5591728091728092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-0.64205039096437877</v>
      </c>
      <c r="BM19" s="892">
        <f>IF(ISNUMBER((Datos!P19-Datos!Q19+R19)/(Datos!R19-Datos!P19+Datos!Q19-R19)),(Datos!P19-Datos!Q19+R19)/(Datos!R19-Datos!P19+Datos!Q19-R19)," - ")</f>
        <v>6.9914040114613177E-3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1488.4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2.8284271247461903</v>
      </c>
      <c r="F21" s="554">
        <f>IF(ISNUMBER(STDEV(F8:F18)),STDEV(F8:F18),"-")</f>
        <v>1753.4127675288935</v>
      </c>
      <c r="G21" s="555">
        <f>IF(ISNUMBER(STDEV(G8:G18)),STDEV(G8:G18),"-")</f>
        <v>1709.4584815081062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1065.1895136547298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291.17005340522229</v>
      </c>
      <c r="BD21" s="554"/>
      <c r="BE21" s="554">
        <f>IF(ISNUMBER(STDEV(BE8:BE18)),STDEV(BE8:BE18),"-")</f>
        <v>0</v>
      </c>
      <c r="BF21" s="559">
        <f>IF(ISNUMBER(STDEV(BF8:BF18)),STDEV(BF8:BF18),"-")</f>
        <v>0</v>
      </c>
      <c r="BG21" s="778">
        <f>IF(ISNUMBER(STDEV(BG8:BG18)),STDEV(BG8:BG18),"-")</f>
        <v>9.0383387004760299E-2</v>
      </c>
      <c r="BH21" s="779">
        <f>IF(ISNUMBER(STDEV(BH8:BH18)),STDEV(BH8:BH18),"-")</f>
        <v>2.7547498420598364</v>
      </c>
      <c r="BI21" s="252">
        <f>IF(ISNUMBER(STDEV(BI8:BI18)),STDEV(BI8:BI18),"-")</f>
        <v>7.5242937832785045E-2</v>
      </c>
      <c r="BJ21" s="233" t="str">
        <f>IF(ISNUMBER(BL21/BM21),BL21/BM21," - ")</f>
        <v xml:space="preserve"> - </v>
      </c>
      <c r="BK21" s="578"/>
      <c r="BL21" s="562">
        <f>IF(ISNUMBER(STDEV(BL8:BL18)),STDEV(BL8:BL18),"-")</f>
        <v>0.29860846148208059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1m98dcT+JnvG0Jnm2/dNJIh8/hVTqfLoSvi2QizWXMVqVhgWBvxISrJIXMIzH7hfHH+NUThZsGKD0UekG8Edcw==" saltValue="sw4JrwyommuKdM2cZVY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LOGROÑO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726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695</v>
      </c>
      <c r="AA9" s="335" t="str">
        <f>IF(ISNUMBER(IF(J_V="SI",Datos!L9,Datos!L9+Datos!AB9)-IF(Monitorios="SI",Datos!CD9,0)),
                          IF(J_V="SI",Datos!L9,Datos!L9+Datos!AB9)-IF(Monitorios="SI",Datos!CD9,0),
                          " - ")</f>
        <v xml:space="preserve"> - </v>
      </c>
      <c r="AB9" s="337"/>
      <c r="AC9" s="337"/>
      <c r="AD9" s="487"/>
      <c r="AE9" s="487">
        <f>IF(ISNUMBER(Datos!R9),Datos!R9," - ")</f>
        <v>7610</v>
      </c>
      <c r="AF9" s="232" t="str">
        <f>IF(ISNUMBER(Datos!BV9),Datos!BV9," - ")</f>
        <v xml:space="preserve"> - </v>
      </c>
      <c r="AG9" s="228" t="str">
        <f>IF(ISNUMBER(Datos!DV9),Datos!DV9," - ")</f>
        <v xml:space="preserve"> - </v>
      </c>
      <c r="AH9" s="301"/>
      <c r="AI9" s="230"/>
      <c r="AJ9" s="228">
        <f>IF(ISNUMBER(Datos!M9),Datos!M9," - ")</f>
        <v>608</v>
      </c>
      <c r="AK9" s="232">
        <f>IF(ISNUMBER(Datos!N9),Datos!N9," - ")</f>
        <v>927</v>
      </c>
      <c r="AL9" s="232" t="str">
        <f>IF(ISNUMBER(Datos!BW9),Datos!BW9," - ")</f>
        <v xml:space="preserve"> - </v>
      </c>
      <c r="AM9" s="231" t="str">
        <f>IF(ISNUMBER(Datos!BX9),Datos!BX9," - ")</f>
        <v xml:space="preserve"> - </v>
      </c>
      <c r="AN9" s="246"/>
      <c r="AO9" s="263">
        <f>IF(ISNUMBER(((NºAsuntos!I9/NºAsuntos!G9)*11)/factor_trimestre),((NºAsuntos!I9/NºAsuntos!G9)*11)/factor_trimestre," - ")</f>
        <v>5.9227900037299515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4.0902493732682408E-3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1</v>
      </c>
      <c r="F10" s="228">
        <f>IF(ISNUMBER(Datos!L10+Datos!K10-Datos!J10),Datos!L10+Datos!K10-Datos!J10," - ")</f>
        <v>208</v>
      </c>
      <c r="G10" s="228">
        <f>IF(ISNUMBER(Datos!I10),Datos!I10," - ")</f>
        <v>208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51</v>
      </c>
      <c r="Z10" s="622">
        <f>IF(ISNUMBER(Datos!Q10),Datos!Q10," - ")</f>
        <v>2</v>
      </c>
      <c r="AA10" s="335">
        <f>IF(ISNUMBER(Datos!L10),Datos!L10,"-")</f>
        <v>213</v>
      </c>
      <c r="AB10" s="337"/>
      <c r="AC10" s="337"/>
      <c r="AD10" s="487"/>
      <c r="AE10" s="487">
        <f>IF(ISNUMBER(Datos!R10),Datos!R10," - ")</f>
        <v>179</v>
      </c>
      <c r="AF10" s="232" t="str">
        <f>IF(ISNUMBER(Datos!BV10),Datos!BV10," - ")</f>
        <v xml:space="preserve"> - </v>
      </c>
      <c r="AG10" s="228" t="str">
        <f>IF(ISNUMBER(Datos!DV10),Datos!DV10," - ")</f>
        <v xml:space="preserve"> - </v>
      </c>
      <c r="AH10" s="301"/>
      <c r="AI10" s="230"/>
      <c r="AJ10" s="228">
        <f>IF(ISNUMBER(Datos!M10),Datos!M10," - ")</f>
        <v>22</v>
      </c>
      <c r="AK10" s="232">
        <f>IF(ISNUMBER(Datos!N10),Datos!N10," - ")</f>
        <v>27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12.529411764705884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5.9171597633136092E-2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31</v>
      </c>
      <c r="AA11" s="335" t="str">
        <f>IF(ISNUMBER(IF(J_V="SI",Datos!L11,Datos!L11+Datos!AB11)-IF(Monitorios="SI",Datos!CD11,0)),
                          IF(J_V="SI",Datos!L11,Datos!L11+Datos!AB11)-IF(Monitorios="SI",Datos!CD11,0),
                          " - ")</f>
        <v xml:space="preserve"> - </v>
      </c>
      <c r="AB11" s="337"/>
      <c r="AC11" s="337"/>
      <c r="AD11" s="487"/>
      <c r="AE11" s="487">
        <f>IF(ISNUMBER(Datos!R11),Datos!R11," - ")</f>
        <v>620</v>
      </c>
      <c r="AF11" s="232" t="str">
        <f>IF(ISNUMBER(Datos!BV11),Datos!BV11," - ")</f>
        <v xml:space="preserve"> - </v>
      </c>
      <c r="AG11" s="228" t="str">
        <f>IF(ISNUMBER(Datos!DV11),Datos!DV11," - ")</f>
        <v xml:space="preserve"> - </v>
      </c>
      <c r="AH11" s="301"/>
      <c r="AI11" s="230"/>
      <c r="AJ11" s="228">
        <f>IF(ISNUMBER(Datos!M11),Datos!M11," - ")</f>
        <v>169</v>
      </c>
      <c r="AK11" s="232">
        <f>IF(ISNUMBER(Datos!N11),Datos!N11," - ")</f>
        <v>215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6.2628205128205137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1.6393442622950821E-2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v>
      </c>
      <c r="AA12" s="335" t="str">
        <f>IF(ISNUMBER(IF(J_V="SI",Datos!L12,Datos!L12+Datos!AB12)-IF(Monitorios="SI",Datos!CD12,0)),
                          IF(J_V="SI",Datos!L12,Datos!L12+Datos!AB12)-IF(Monitorios="SI",Datos!CD12,0),
                          " - ")</f>
        <v xml:space="preserve"> - </v>
      </c>
      <c r="AB12" s="337"/>
      <c r="AC12" s="337"/>
      <c r="AD12" s="487"/>
      <c r="AE12" s="487">
        <f>IF(ISNUMBER(Datos!R12),Datos!R12," - ")</f>
        <v>49</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-0.02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208</v>
      </c>
      <c r="G13" s="901">
        <f>SUBTOTAL(9,G8:G12)</f>
        <v>208</v>
      </c>
      <c r="H13" s="911"/>
      <c r="I13" s="901">
        <f t="shared" ref="I13:N13" si="0">SUBTOTAL(9,I8:I12)</f>
        <v>0</v>
      </c>
      <c r="J13" s="870">
        <f t="shared" si="0"/>
        <v>0</v>
      </c>
      <c r="K13" s="911">
        <f t="shared" si="0"/>
        <v>0</v>
      </c>
      <c r="L13" s="911">
        <f t="shared" si="0"/>
        <v>0</v>
      </c>
      <c r="M13" s="911">
        <f t="shared" si="0"/>
        <v>0</v>
      </c>
      <c r="N13" s="911">
        <f t="shared" si="0"/>
        <v>779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51</v>
      </c>
      <c r="Z13" s="910">
        <f t="shared" si="2"/>
        <v>729</v>
      </c>
      <c r="AA13" s="903">
        <f t="shared" si="2"/>
        <v>213</v>
      </c>
      <c r="AB13" s="903">
        <f t="shared" si="2"/>
        <v>0</v>
      </c>
      <c r="AC13" s="903">
        <f t="shared" si="2"/>
        <v>0</v>
      </c>
      <c r="AD13" s="903">
        <f t="shared" si="2"/>
        <v>0</v>
      </c>
      <c r="AE13" s="903">
        <f t="shared" si="2"/>
        <v>8458</v>
      </c>
      <c r="AF13" s="911">
        <f t="shared" si="2"/>
        <v>0</v>
      </c>
      <c r="AG13" s="911">
        <f t="shared" si="2"/>
        <v>0</v>
      </c>
      <c r="AH13" s="911">
        <f t="shared" si="2"/>
        <v>0</v>
      </c>
      <c r="AI13" s="911">
        <f t="shared" si="2"/>
        <v>0</v>
      </c>
      <c r="AJ13" s="911">
        <f t="shared" si="2"/>
        <v>799</v>
      </c>
      <c r="AK13" s="911">
        <f t="shared" si="2"/>
        <v>1169</v>
      </c>
      <c r="AL13" s="911">
        <f t="shared" si="2"/>
        <v>0</v>
      </c>
      <c r="AM13" s="911">
        <f t="shared" si="2"/>
        <v>0</v>
      </c>
      <c r="AN13" s="911">
        <f t="shared" si="2"/>
        <v>0</v>
      </c>
      <c r="AO13" s="907">
        <f>IF(ISNUMBER(((NºAsuntos!I13/NºAsuntos!G13)*11)/factor_trimestre),((NºAsuntos!I13/NºAsuntos!G13)*11)/factor_trimestre," - ")</f>
        <v>6.0787500000000003</v>
      </c>
      <c r="AP13" s="913" t="str">
        <f>IF(ISNUMBER(Datos!CI13/Datos!CJ13),Datos!CI13/Datos!CJ13," - ")</f>
        <v xml:space="preserve"> - </v>
      </c>
      <c r="AQ13" s="931">
        <f t="shared" ref="AQ13:AV13" si="3">SUBTOTAL(9,AQ9:AQ12)</f>
        <v>0</v>
      </c>
      <c r="AR13" s="931">
        <f t="shared" si="3"/>
        <v>5.9655289629355152E-2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3245</v>
      </c>
      <c r="G15" s="228">
        <f>IF(ISNUMBER(IF(D_I="SI",Datos!I15,Datos!I15+Datos!AC15)),IF(D_I="SI",Datos!I15,Datos!I15+Datos!AC15)," - ")</f>
        <v>3200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127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1928</v>
      </c>
      <c r="Z15" s="622">
        <f>IF(ISNUMBER(Datos!Q15),Datos!Q15," - ")</f>
        <v>116</v>
      </c>
      <c r="AA15" s="335">
        <f>IF(ISNUMBER(IF(D_I="SI",Datos!L15,Datos!L15+Datos!AF15)),IF(D_I="SI",Datos!L15,Datos!L15+Datos!AF15)," - ")</f>
        <v>3399</v>
      </c>
      <c r="AB15" s="337"/>
      <c r="AC15" s="337"/>
      <c r="AD15" s="487"/>
      <c r="AE15" s="487">
        <f>IF(ISNUMBER(Datos!R15),Datos!R15," - ")</f>
        <v>323</v>
      </c>
      <c r="AF15" s="232" t="str">
        <f>IF(ISNUMBER(Datos!BV15),Datos!BV15," - ")</f>
        <v xml:space="preserve"> - </v>
      </c>
      <c r="AG15" s="228"/>
      <c r="AH15" s="301"/>
      <c r="AI15" s="230"/>
      <c r="AJ15" s="228">
        <f>IF(ISNUMBER(Datos!M15),Datos!M15," - ")</f>
        <v>267</v>
      </c>
      <c r="AK15" s="232">
        <f>IF(ISNUMBER(Datos!N15),Datos!N15," - ")</f>
        <v>1124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5.2889004149377596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238</v>
      </c>
      <c r="Z17" s="622">
        <f>IF(ISNUMBER(Datos!Q17),Datos!Q17," - ")</f>
        <v>2</v>
      </c>
      <c r="AA17" s="335">
        <f>IF(ISNUMBER(Datos!L17),Datos!L17,"-")</f>
        <v>329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38</v>
      </c>
      <c r="AK17" s="232">
        <f>IF(ISNUMBER(Datos!N17),Datos!N17," - ")</f>
        <v>153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4.1470588235294121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3245</v>
      </c>
      <c r="G18" s="901">
        <f>SUBTOTAL(9,G15:G17)</f>
        <v>3513</v>
      </c>
      <c r="H18" s="935">
        <f>SUBTOTAL(9,H15:H17)</f>
        <v>0</v>
      </c>
      <c r="I18" s="914">
        <f>SUBTOTAL(9,I15:I17)</f>
        <v>0</v>
      </c>
      <c r="J18" s="870">
        <f>SUBTOTAL(9,J14:J17)</f>
        <v>0</v>
      </c>
      <c r="K18" s="935">
        <f t="shared" ref="K18:S18" si="4">SUBTOTAL(9,K15:K17)</f>
        <v>0</v>
      </c>
      <c r="L18" s="935">
        <f t="shared" si="4"/>
        <v>0</v>
      </c>
      <c r="M18" s="935">
        <f t="shared" si="4"/>
        <v>0</v>
      </c>
      <c r="N18" s="935">
        <f t="shared" si="4"/>
        <v>129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2166</v>
      </c>
      <c r="Z18" s="935">
        <f t="shared" si="5"/>
        <v>118</v>
      </c>
      <c r="AA18" s="935">
        <f t="shared" si="5"/>
        <v>3728</v>
      </c>
      <c r="AB18" s="935">
        <f t="shared" si="5"/>
        <v>0</v>
      </c>
      <c r="AC18" s="935">
        <f t="shared" si="5"/>
        <v>0</v>
      </c>
      <c r="AD18" s="935">
        <f t="shared" si="5"/>
        <v>0</v>
      </c>
      <c r="AE18" s="935">
        <f t="shared" si="5"/>
        <v>328</v>
      </c>
      <c r="AF18" s="935">
        <f t="shared" si="5"/>
        <v>0</v>
      </c>
      <c r="AG18" s="935">
        <f t="shared" si="5"/>
        <v>0</v>
      </c>
      <c r="AH18" s="935">
        <f t="shared" si="5"/>
        <v>0</v>
      </c>
      <c r="AI18" s="935">
        <f t="shared" si="5"/>
        <v>0</v>
      </c>
      <c r="AJ18" s="935">
        <f t="shared" si="5"/>
        <v>305</v>
      </c>
      <c r="AK18" s="935">
        <f t="shared" si="5"/>
        <v>1277</v>
      </c>
      <c r="AL18" s="935">
        <f t="shared" si="5"/>
        <v>0</v>
      </c>
      <c r="AM18" s="935">
        <f t="shared" si="5"/>
        <v>0</v>
      </c>
      <c r="AN18" s="935">
        <f t="shared" si="5"/>
        <v>0</v>
      </c>
      <c r="AO18" s="937">
        <f>IF(ISNUMBER(((NºAsuntos!I18/NºAsuntos!G18)*11)/factor_trimestre),((NºAsuntos!I18/NºAsuntos!G18)*11)/factor_trimestre," - ")</f>
        <v>5.163434903047091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3453</v>
      </c>
      <c r="G19" s="823">
        <f t="shared" si="7"/>
        <v>3721</v>
      </c>
      <c r="H19" s="824">
        <f t="shared" si="7"/>
        <v>0</v>
      </c>
      <c r="I19" s="823">
        <f t="shared" si="7"/>
        <v>0</v>
      </c>
      <c r="J19" s="825">
        <f t="shared" si="7"/>
        <v>0</v>
      </c>
      <c r="K19" s="823">
        <f t="shared" si="7"/>
        <v>0</v>
      </c>
      <c r="L19" s="826">
        <f t="shared" si="7"/>
        <v>0</v>
      </c>
      <c r="M19" s="823">
        <f t="shared" si="7"/>
        <v>0</v>
      </c>
      <c r="N19" s="824">
        <f t="shared" si="7"/>
        <v>908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2217</v>
      </c>
      <c r="Z19" s="830">
        <f t="shared" si="8"/>
        <v>847</v>
      </c>
      <c r="AA19" s="831">
        <f t="shared" si="8"/>
        <v>3941</v>
      </c>
      <c r="AB19" s="831">
        <f t="shared" si="8"/>
        <v>0</v>
      </c>
      <c r="AC19" s="831">
        <f t="shared" si="8"/>
        <v>0</v>
      </c>
      <c r="AD19" s="832">
        <f t="shared" si="8"/>
        <v>0</v>
      </c>
      <c r="AE19" s="832">
        <f t="shared" si="8"/>
        <v>8786</v>
      </c>
      <c r="AF19" s="833">
        <f t="shared" si="8"/>
        <v>0</v>
      </c>
      <c r="AG19" s="834">
        <f t="shared" si="8"/>
        <v>0</v>
      </c>
      <c r="AH19" s="835">
        <f t="shared" si="8"/>
        <v>0</v>
      </c>
      <c r="AI19" s="833">
        <f t="shared" si="8"/>
        <v>0</v>
      </c>
      <c r="AJ19" s="823">
        <f t="shared" si="8"/>
        <v>1104</v>
      </c>
      <c r="AK19" s="823">
        <f t="shared" si="8"/>
        <v>2446</v>
      </c>
      <c r="AL19" s="823">
        <f t="shared" si="8"/>
        <v>0</v>
      </c>
      <c r="AM19" s="836">
        <f t="shared" si="8"/>
        <v>0</v>
      </c>
      <c r="AN19" s="826">
        <f>IF(ISNUMBER(Datos!K19/Datos!J19),Datos!K19/Datos!J19," - ")</f>
        <v>0.94397656536067376</v>
      </c>
      <c r="AO19" s="826">
        <f>IF(ISNUMBER(FIND("06",Criterios!A8,1)),(IF(ISNUMBER(((Datos!R19/Datos!Q19)*11)/factor_trimestre),((Datos!R19/Datos!Q19)*11)/factor_trimestre," - ")),(IF(ISNUMBER(((Datos!L19/Datos!K19)*11)/factor_trimestre),((Datos!L19/Datos!K19)*11)/factor_trimestre," - ")))</f>
        <v>5.8906128782001552</v>
      </c>
      <c r="AP19" s="837" t="str">
        <f>IF(ISNUMBER(Datos!CI19/Datos!CJ19),Datos!CI19/Datos!CJ19," - ")</f>
        <v xml:space="preserve"> - </v>
      </c>
      <c r="AQ19" s="837">
        <f>IF(OR(ISNUMBER(FIND("01",Criterios!A8,1)),ISNUMBER(FIND("02",Criterios!A8,1)),ISNUMBER(FIND("03",Criterios!A8,1)),ISNUMBER(FIND("04",Criterios!A8,1))),(J19-Y19+K19)/(F19-K19),(I19-Y19+K19)/(F19-K19))</f>
        <v>-0.64205039096437877</v>
      </c>
      <c r="AR19" s="837">
        <f>IF(ISNUMBER((Datos!P19-Datos!Q19+O19)/(Datos!R19-Datos!P19+Datos!Q19-O19)),(Datos!P19-Datos!Q19+O19)/(Datos!R19-Datos!P19+Datos!Q19-O19)," - ")</f>
        <v>6.9914040114613177E-3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1488.4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1753.4127675288935</v>
      </c>
      <c r="G21" s="555">
        <f>IF(ISNUMBER(STDEV(G8:G18)),STDEV(G8:G18),"-")</f>
        <v>1709.4584815081062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291.17005340522229</v>
      </c>
      <c r="AK21" s="255"/>
      <c r="AL21" s="255">
        <f>IF(ISNUMBER(STDEV(AL8:AL18)),STDEV(AL8:AL18),"-")</f>
        <v>0</v>
      </c>
      <c r="AM21" s="257">
        <f>IF(ISNUMBER(STDEV(AM8:AM18)),STDEV(AM8:AM18),"-")</f>
        <v>0</v>
      </c>
      <c r="AN21" s="542">
        <f>IF(ISNUMBER(STDEV(AN8:AN18)),STDEV(AN8:AN18),"-")</f>
        <v>0</v>
      </c>
      <c r="AO21" s="543">
        <f>IF(ISNUMBER(STDEV(AO8:AO18)),STDEV(AO8:AO18),"-")</f>
        <v>2.7600891723355763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M5eI+m+jfLBOFjl0Ls6DoRtAhhr8x4MJahWkRm2VHvlMDRilOpDWOlqTCzjWNKMfR676IZgiaMyRaXKJHFZNQ==" saltValue="DLDcnEDqxtvH39IGHKtG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9ltsYSTnu+4MSPxhvZ0I34/Qt0A3adSIJzzhlG3EccIdX0wrZAiGlTLssQ3lMshhdMXLRsRSTiCKGrQ1CD2+A==" saltValue="pzewR7LF6nMZ/X+yxmdK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Ic9FvllExy2gQ0mTqoX+OjuQRwsAJcq/2kgWK9zva0uyugmatL46wkgARxQ82ep1sWgGuJWdnESg/FMXhoWlA==" saltValue="dRasRnKQMsHyNx4iKdFP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LOGROÑO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0.24968750000000001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0.1765557244275161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QfejNdAWUAxWdcFeGcBarrw2q67CddHxvowzNHWRoACKZHf4TV1MfEYU4sza6VTzMtlcpXdxOIR9iv3nn/jKQ==" saltValue="8MfTDX6vdEbmHXwVuvcK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eqBd6y3ax9eJVX55f7v2tEIEsgpVvXEHgCfOMRLTCgMprctDi+dUqERaey1ZDeAIwQZ2ZRP0WJ+sUBHk68gohQ==" saltValue="jeS8KCOCQ5fHIdc1lUyn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LOGROÑO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5140</v>
      </c>
      <c r="D9" s="407">
        <f>IF(ISNUMBER(C9/Datos!BH9),C9/Datos!BH9," - ")</f>
        <v>856.66666666666663</v>
      </c>
      <c r="E9" s="406">
        <f>IF(ISNUMBER(IF(J_V="SI",Datos!J9,Datos!J9+Datos!Z9)),IF(J_V="SI",Datos!J9,Datos!J9+Datos!Z9)," - ")</f>
        <v>2829</v>
      </c>
      <c r="F9" s="407">
        <f>IF(ISNUMBER(E9/B9),E9/B9," - ")</f>
        <v>471.5</v>
      </c>
      <c r="G9" s="406">
        <f>IF(ISNUMBER(IF(J_V="SI",Datos!K9,Datos!K9+Datos!AA9)),IF(J_V="SI",Datos!K9,Datos!K9+Datos!AA9)," - ")</f>
        <v>2681</v>
      </c>
      <c r="H9" s="407">
        <f>IF(ISNUMBER(G9/B9),G9/B9," - ")</f>
        <v>446.83333333333331</v>
      </c>
      <c r="I9" s="406">
        <f>IF(ISNUMBER(IF(J_V="SI",Datos!L9,Datos!L9+Datos!AB9)),IF(J_V="SI",Datos!L9,Datos!L9+Datos!AB9)," - ")</f>
        <v>5293</v>
      </c>
      <c r="J9" s="407">
        <f>IF(ISNUMBER(I9/B9),I9/B9," - ")</f>
        <v>882.16666666666663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208</v>
      </c>
      <c r="D10" s="407">
        <f>IF(ISNUMBER(C10/Datos!BH10),C10/Datos!BH10," - ")</f>
        <v>208</v>
      </c>
      <c r="E10" s="406">
        <f>IF(ISNUMBER(Datos!J10),Datos!J10," - ")</f>
        <v>56</v>
      </c>
      <c r="F10" s="407">
        <f>IF(ISNUMBER(E10/B10),E10/B10," - ")</f>
        <v>56</v>
      </c>
      <c r="G10" s="406">
        <f>IF(ISNUMBER(Datos!K10),Datos!K10," - ")</f>
        <v>51</v>
      </c>
      <c r="H10" s="407">
        <f>IF(ISNUMBER(G10/B10),G10/B10," - ")</f>
        <v>51</v>
      </c>
      <c r="I10" s="406">
        <f>IF(ISNUMBER(Datos!L10),Datos!L10," - ")</f>
        <v>213</v>
      </c>
      <c r="J10" s="407">
        <f>IF(ISNUMBER(I10/B10),I10/B10," - ")</f>
        <v>213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1045</v>
      </c>
      <c r="D11" s="407">
        <f>IF(ISNUMBER(C11/Datos!BH11),C11/Datos!BH11," - ")</f>
        <v>1045</v>
      </c>
      <c r="E11" s="406">
        <f>IF(ISNUMBER(IF(J_V="SI",Datos!J11,Datos!J11+Datos!Z11)),IF(J_V="SI",Datos!J11,Datos!J11+Datos!Z11)," - ")</f>
        <v>400</v>
      </c>
      <c r="F11" s="407">
        <f>IF(ISNUMBER(E11/B11),E11/B11," - ")</f>
        <v>400</v>
      </c>
      <c r="G11" s="406">
        <f>IF(ISNUMBER(IF(J_V="SI",Datos!K11,Datos!K11+Datos!AA11)),IF(J_V="SI",Datos!K11,Datos!K11+Datos!AA11)," - ")</f>
        <v>468</v>
      </c>
      <c r="H11" s="407">
        <f>IF(ISNUMBER(G11/B11),G11/B11," - ")</f>
        <v>468</v>
      </c>
      <c r="I11" s="406">
        <f>IF(ISNUMBER(IF(J_V="SI",Datos!L11,Datos!L11+Datos!AB11)),IF(J_V="SI",Datos!L11,Datos!L11+Datos!AB11)," - ")</f>
        <v>977</v>
      </c>
      <c r="J11" s="407">
        <f>IF(ISNUMBER(I11/B11),I11/B11," - ")</f>
        <v>977</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6394</v>
      </c>
      <c r="D13" s="853" t="str">
        <f>IF(ISNUMBER(C13/Datos!BI13),C13/Datos!BI13," - ")</f>
        <v xml:space="preserve"> - </v>
      </c>
      <c r="E13" s="852">
        <f>SUBTOTAL(9,E8:E12)</f>
        <v>3285</v>
      </c>
      <c r="F13" s="853">
        <f>IF(ISNUMBER(E13/B13),E13/B13," - ")</f>
        <v>410.625</v>
      </c>
      <c r="G13" s="852">
        <f>SUBTOTAL(9,G8:G12)</f>
        <v>3200</v>
      </c>
      <c r="H13" s="853">
        <f>IF(ISNUMBER(G13/B13),G13/B13," - ")</f>
        <v>400</v>
      </c>
      <c r="I13" s="852">
        <f>SUBTOTAL(9,I8:I12)</f>
        <v>6484</v>
      </c>
      <c r="J13" s="853">
        <f>IF(ISNUMBER(I13/B13),I13/B13," - ")</f>
        <v>810.5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3200</v>
      </c>
      <c r="D15" s="407">
        <f>IF(ISNUMBER(C15/Datos!BH15),C15/Datos!BH15," - ")</f>
        <v>1066.6666666666667</v>
      </c>
      <c r="E15" s="406">
        <f>IF(ISNUMBER(IF(D_I="SI",Datos!J15,Datos!J15+Datos!AD15)),IF(D_I="SI",Datos!J15,Datos!J15+Datos!AD15)," - ")</f>
        <v>2082</v>
      </c>
      <c r="F15" s="407">
        <f>IF(ISNUMBER(E15/B15),E15/B15," - ")</f>
        <v>694</v>
      </c>
      <c r="G15" s="406">
        <f>IF(ISNUMBER(IF(D_I="SI",Datos!K15,Datos!K15+Datos!AE15)),IF(D_I="SI",Datos!K15,Datos!K15+Datos!AE15)," - ")</f>
        <v>1928</v>
      </c>
      <c r="H15" s="407">
        <f>IF(ISNUMBER(G15/B15),G15/B15," - ")</f>
        <v>642.66666666666663</v>
      </c>
      <c r="I15" s="406">
        <f>IF(ISNUMBER(IF(D_I="SI",Datos!L15,Datos!L15+Datos!AF15)),IF(D_I="SI",Datos!L15,Datos!L15+Datos!AF15)," - ")</f>
        <v>3399</v>
      </c>
      <c r="J15" s="407">
        <f>IF(ISNUMBER(I15/B15),I15/B15," - ")</f>
        <v>1133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313</v>
      </c>
      <c r="D17" s="407">
        <f>IF(ISNUMBER(C17/Datos!BH17),C17/Datos!BH17," - ")</f>
        <v>313</v>
      </c>
      <c r="E17" s="406">
        <f>IF(ISNUMBER(IF(D_I="SI",Datos!J17,Datos!J17+Datos!AD17)),IF(D_I="SI",Datos!J17,Datos!J17+Datos!AD17)," - ")</f>
        <v>254</v>
      </c>
      <c r="F17" s="407">
        <f>IF(ISNUMBER(E17/B17),E17/B17," - ")</f>
        <v>254</v>
      </c>
      <c r="G17" s="406">
        <f>IF(ISNUMBER(IF(D_I="SI",Datos!K17,Datos!K17+Datos!AE17)),IF(D_I="SI",Datos!K17,Datos!K17+Datos!AE17)," - ")</f>
        <v>238</v>
      </c>
      <c r="H17" s="407">
        <f>IF(ISNUMBER(G17/B17),G17/B17," - ")</f>
        <v>238</v>
      </c>
      <c r="I17" s="406">
        <f>IF(ISNUMBER(IF(D_I="SI",Datos!L17,Datos!L17+Datos!AF17)),IF(D_I="SI",Datos!L17,Datos!L17+Datos!AF17)," - ")</f>
        <v>329</v>
      </c>
      <c r="J17" s="407">
        <f>IF(ISNUMBER(I17/B17),I17/B17," - ")</f>
        <v>329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3513</v>
      </c>
      <c r="D18" s="853" t="str">
        <f>IF(ISNUMBER(C18/Datos!BI18),C18/Datos!BI18," - ")</f>
        <v xml:space="preserve"> - </v>
      </c>
      <c r="E18" s="852">
        <f>SUBTOTAL(9,E14:E17)</f>
        <v>2336</v>
      </c>
      <c r="F18" s="853">
        <f>IF(ISNUMBER(E18/B18),E18/B18," - ")</f>
        <v>584</v>
      </c>
      <c r="G18" s="852">
        <f>SUBTOTAL(9,G14:G17)</f>
        <v>2166</v>
      </c>
      <c r="H18" s="853">
        <f>IF(ISNUMBER(G18/B18),G18/B18," - ")</f>
        <v>541.5</v>
      </c>
      <c r="I18" s="852">
        <f>SUBTOTAL(9,I14:I17)</f>
        <v>3728</v>
      </c>
      <c r="J18" s="853">
        <f>IF(ISNUMBER(I18/B18),I18/B18," - ")</f>
        <v>932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9907</v>
      </c>
      <c r="D19" s="798" t="str">
        <f>IF(ISNUMBER(C19/Datos!BI19),C19/Datos!BI19," - ")</f>
        <v xml:space="preserve"> - </v>
      </c>
      <c r="E19" s="797">
        <f>SUBTOTAL(9,E9:E18)</f>
        <v>5621</v>
      </c>
      <c r="F19" s="798">
        <f>IF(ISNUMBER(E19/B19),E19/B19," - ")</f>
        <v>511</v>
      </c>
      <c r="G19" s="797">
        <f>SUBTOTAL(9,G9:G18)</f>
        <v>5366</v>
      </c>
      <c r="H19" s="798">
        <f>IF(ISNUMBER(G19/B19),G19/B19," - ")</f>
        <v>487.81818181818181</v>
      </c>
      <c r="I19" s="797">
        <f>SUBTOTAL(9,I9:I18)</f>
        <v>10212</v>
      </c>
      <c r="J19" s="798">
        <f>IF(ISNUMBER(I19/B19),I19/B19," - ")</f>
        <v>928.36363636363637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LpBZ/yUdlqEOqeoWPffPEvlkbZulT8u/XwS7dVokguakUT8oco3ndA9HzTfzoZSLQTbTgMu0k1XESNqM+D6OQ==" saltValue="0Gs5IJ3HWSyAqKBM4IK3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LOGROÑO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245</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1</v>
      </c>
      <c r="F10" s="686">
        <f>IF(ISNUMBER(Datos!L10+Datos!K10-Datos!J10),Datos!L10+Datos!K10-Datos!J10," - ")</f>
        <v>208</v>
      </c>
      <c r="G10" s="687">
        <f>IF(ISNUMBER(Datos!I10),Datos!I10," - ")</f>
        <v>208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51</v>
      </c>
      <c r="AC10" s="686" t="str">
        <f>IF(ISNUMBER(IF(D_I="SI",DatosP!K17,DatosP!K17+DatosP!AE17)),IF(D_I="SI",DatosP!K17,DatosP!K17+DatosP!AE17)," - ")</f>
        <v xml:space="preserve"> - </v>
      </c>
      <c r="AD10" s="688"/>
      <c r="AE10" s="688"/>
      <c r="AF10" s="691">
        <f>IF(ISNUMBER(Datos!L10),Datos!L10,"-")</f>
        <v>213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22</v>
      </c>
      <c r="AM10" s="693">
        <f>IF(ISNUMBER(Datos!N10+DatosP!N17),Datos!N10+DatosP!N17," - ")</f>
        <v>27</v>
      </c>
      <c r="AN10" s="693">
        <f>IF(ISNUMBER(Datos!BW10+DatosP!BW17),Datos!BW10+DatosP!BW17," - ")</f>
        <v>0</v>
      </c>
      <c r="AO10" s="694">
        <f>IF(ISNUMBER(Datos!BX10+DatosP!BX17),Datos!BX10+DatosP!BX17," - ")</f>
        <v>0</v>
      </c>
      <c r="AP10" s="696">
        <f>IF(ISNUMBER(((Datos!L10/Datos!K10)*11)/factor_trimestre),((Datos!L10/Datos!K10)*11)/factor_trimestre," - ")</f>
        <v>12.529411764705884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-0.02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208</v>
      </c>
      <c r="G13" s="941">
        <f t="shared" si="0"/>
        <v>208</v>
      </c>
      <c r="H13" s="941">
        <f t="shared" si="0"/>
        <v>0</v>
      </c>
      <c r="I13" s="943">
        <f t="shared" si="0"/>
        <v>0</v>
      </c>
      <c r="J13" s="942">
        <f t="shared" si="0"/>
        <v>0</v>
      </c>
      <c r="K13" s="942">
        <f t="shared" si="0"/>
        <v>0</v>
      </c>
      <c r="L13" s="944">
        <f t="shared" si="0"/>
        <v>0</v>
      </c>
      <c r="M13" s="944">
        <f t="shared" si="0"/>
        <v>0</v>
      </c>
      <c r="N13" s="942">
        <f t="shared" si="0"/>
        <v>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51</v>
      </c>
      <c r="AC13" s="942">
        <f t="shared" si="1"/>
        <v>0</v>
      </c>
      <c r="AD13" s="942">
        <f t="shared" si="1"/>
        <v>1</v>
      </c>
      <c r="AE13" s="942">
        <f t="shared" si="1"/>
        <v>0</v>
      </c>
      <c r="AF13" s="942">
        <f t="shared" si="1"/>
        <v>213</v>
      </c>
      <c r="AG13" s="942">
        <f t="shared" si="1"/>
        <v>0</v>
      </c>
      <c r="AH13" s="942">
        <f t="shared" si="1"/>
        <v>49</v>
      </c>
      <c r="AI13" s="942">
        <f t="shared" si="1"/>
        <v>0</v>
      </c>
      <c r="AJ13" s="942">
        <f t="shared" si="1"/>
        <v>0</v>
      </c>
      <c r="AK13" s="942">
        <f t="shared" si="1"/>
        <v>0</v>
      </c>
      <c r="AL13" s="942">
        <f t="shared" si="1"/>
        <v>22</v>
      </c>
      <c r="AM13" s="942">
        <f t="shared" si="1"/>
        <v>27</v>
      </c>
      <c r="AN13" s="942">
        <f t="shared" si="1"/>
        <v>0</v>
      </c>
      <c r="AO13" s="942">
        <f t="shared" si="1"/>
        <v>0</v>
      </c>
      <c r="AP13" s="947">
        <f>IF(ISNUMBER(((Datos!L13/Datos!K13)*11)/factor_trimestre),((Datos!L13/Datos!K13)*11)/factor_trimestre," - ")</f>
        <v>6.4173913043478272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-0.24519230769230768</v>
      </c>
      <c r="AU13" s="942" t="str">
        <f>IF(ISNUMBER((DatosP!#REF!-DatosP!#REF!+DatosP!#REF!)/(DatosP!#REF!+DatosP!#REF!-DatosP!#REF!-DatosP!#REF!)),(DatosP!#REF!-DatosP!#REF!+DatosP!#REF!)/(DatosP!#REF!+DatosP!#REF!-DatosP!#REF!-DatosP!#REF!)," - ")</f>
        <v xml:space="preserve"> - </v>
      </c>
      <c r="AV13" s="948">
        <f>SUBTOTAL(9,AV9:AV12)</f>
        <v>-0.02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5.163434903047091</v>
      </c>
      <c r="AQ18" s="947">
        <f>IF(ISNUMBER(((Datos!M18/Datos!L18)*11)/factor_trimestre),((Datos!M18/Datos!L18)*11)/factor_trimestre," - ")</f>
        <v>0.24543991416309013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3.4700315457413249E-2</v>
      </c>
      <c r="AW18" s="949">
        <f>IF(ISNUMBER((Datos!Q18-Datos!R18)/(Datos!S18-Datos!Q18+Datos!R18)),(Datos!Q18-Datos!R18)/(Datos!S18-Datos!Q18+Datos!R18)," - ")</f>
        <v>-8.4848484848484854E-2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208</v>
      </c>
      <c r="G19" s="954">
        <f t="shared" si="4"/>
        <v>208</v>
      </c>
      <c r="H19" s="954">
        <f t="shared" si="4"/>
        <v>0</v>
      </c>
      <c r="I19" s="955">
        <f t="shared" si="4"/>
        <v>0</v>
      </c>
      <c r="J19" s="956">
        <f t="shared" si="4"/>
        <v>0</v>
      </c>
      <c r="K19" s="956">
        <f t="shared" si="4"/>
        <v>0</v>
      </c>
      <c r="L19" s="956">
        <f t="shared" si="4"/>
        <v>0</v>
      </c>
      <c r="M19" s="956">
        <f t="shared" si="4"/>
        <v>0</v>
      </c>
      <c r="N19" s="955">
        <f t="shared" si="4"/>
        <v>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51</v>
      </c>
      <c r="AC19" s="960">
        <f t="shared" si="5"/>
        <v>0</v>
      </c>
      <c r="AD19" s="960">
        <f t="shared" si="5"/>
        <v>1</v>
      </c>
      <c r="AE19" s="960">
        <f t="shared" si="5"/>
        <v>0</v>
      </c>
      <c r="AF19" s="961">
        <f t="shared" si="5"/>
        <v>213</v>
      </c>
      <c r="AG19" s="961">
        <f t="shared" si="5"/>
        <v>0</v>
      </c>
      <c r="AH19" s="961">
        <f t="shared" si="5"/>
        <v>49</v>
      </c>
      <c r="AI19" s="961">
        <f t="shared" si="5"/>
        <v>0</v>
      </c>
      <c r="AJ19" s="962">
        <f t="shared" si="5"/>
        <v>0</v>
      </c>
      <c r="AK19" s="962">
        <f t="shared" si="5"/>
        <v>0</v>
      </c>
      <c r="AL19" s="954">
        <f t="shared" si="5"/>
        <v>22</v>
      </c>
      <c r="AM19" s="954">
        <f t="shared" si="5"/>
        <v>27</v>
      </c>
      <c r="AN19" s="954">
        <f t="shared" si="5"/>
        <v>0</v>
      </c>
      <c r="AO19" s="954">
        <f t="shared" si="5"/>
        <v>0</v>
      </c>
      <c r="AP19" s="954">
        <f>IF(ISNUMBER(((Datos!L19/Datos!K19)*11)/factor_trimestre),((Datos!L19/Datos!K19)*11)/factor_trimestre," - ")</f>
        <v>5.8906128782001552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-0.24519230769230768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6.9914040114613177E-3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3.4448028487370168</v>
      </c>
      <c r="F21" s="739">
        <f>IF(ISNUMBER(STDEV(F8:F18)),STDEV(F8:F18),"-")</f>
        <v>120.08885599144216</v>
      </c>
      <c r="G21" s="740">
        <f>IF(ISNUMBER(STDEV(G8:G18)),STDEV(G8:G18),"-")</f>
        <v>120.08885599144216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29.444863728670914</v>
      </c>
      <c r="AC21" s="741">
        <f>IF(ISNUMBER(STDEV(AC8:AC18)),STDEV(AC8:AC18),"-")</f>
        <v>0</v>
      </c>
      <c r="AD21" s="744"/>
      <c r="AE21" s="744"/>
      <c r="AF21" s="744"/>
      <c r="AG21" s="744"/>
      <c r="AH21" s="744"/>
      <c r="AI21" s="744"/>
      <c r="AJ21" s="745">
        <f>IF(ISNUMBER(STDEV(AJ8:AJ18)),STDEV(AJ8:AJ18),"-")</f>
        <v>0</v>
      </c>
      <c r="AK21" s="747"/>
      <c r="AL21" s="739">
        <f>IF(ISNUMBER(STDEV(AL8:AL18)),STDEV(AL8:AL18),"-")</f>
        <v>12.701705922171767</v>
      </c>
      <c r="AM21" s="739"/>
      <c r="AN21" s="739">
        <f>IF(ISNUMBER(STDEV(AN8:AN18)),STDEV(AN8:AN18),"-")</f>
        <v>0</v>
      </c>
      <c r="AO21" s="745">
        <f>IF(ISNUMBER(STDEV(AO8:AO18)),STDEV(AO8:AO18),"-")</f>
        <v>0</v>
      </c>
      <c r="AP21" s="782">
        <f>IF(ISNUMBER(STDEV(AP8:AP18)),STDEV(AP8:AP18),"-")</f>
        <v>3.9409562268289533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twHbjtAGT+jBatrWiw/jb1dk07KawqVG4/2AM8a+TWKfuUQPsgMYdoa3FsCo+mcKWveEJHHSz9nhs50lRy/vg==" saltValue="ICxgsHWHT598HylMW5T2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217</v>
      </c>
      <c r="B3" s="394" t="str">
        <f>Criterios!A10 &amp;"  "&amp;Criterios!B10</f>
        <v>Provincias  LA RIOJA</v>
      </c>
      <c r="C3" s="418"/>
      <c r="F3" s="378"/>
      <c r="G3" s="378"/>
      <c r="H3" s="378"/>
    </row>
    <row r="4" spans="1:15" ht="13.5" thickBot="1">
      <c r="A4" s="378"/>
      <c r="B4" s="394" t="str">
        <f>Criterios!A11 &amp;"  "&amp;Criterios!B11</f>
        <v>Resumenes por Partidos Judiciales  LOGROÑO</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zeRDRGrTiGTQ+14549zfQItGArjZ/z8v6gRa8b/sGReLyoDb1Spj2HvmfpMP5d2ezQuhqBDuaGs+qfElO9ZWA==" saltValue="fOT99L6JK8ju7/8ucpzm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LOGROÑO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608</v>
      </c>
      <c r="E9" s="407">
        <f t="shared" ref="E9:E13" si="0">IF(ISNUMBER(D9/B9),D9/B9," - ")</f>
        <v>101.33333333333333</v>
      </c>
      <c r="F9" s="406">
        <f>IF(ISNUMBER(Datos!N9),Datos!N9," - ")</f>
        <v>927</v>
      </c>
      <c r="G9" s="407">
        <f t="shared" ref="G9:G13" si="1">IF(ISNUMBER(F9/B9),F9/B9," - ")</f>
        <v>154.5</v>
      </c>
      <c r="H9" s="406">
        <f>IF(ISNUMBER(Datos!O9),Datos!O9," - ")</f>
        <v>1546</v>
      </c>
      <c r="I9" s="407">
        <f>IF(ISNUMBER(H9/B9),H9/B9," - ")</f>
        <v>257.66666666666669</v>
      </c>
    </row>
    <row r="10" spans="1:9">
      <c r="A10" s="405" t="str">
        <f>Datos!A10</f>
        <v>Jdos. Violencia contra la mujer</v>
      </c>
      <c r="B10" s="430">
        <f>Datos!AO10</f>
        <v>1</v>
      </c>
      <c r="C10" s="413">
        <f>Datos!AQ10</f>
        <v>1</v>
      </c>
      <c r="D10" s="406">
        <f>IF(ISNUMBER(Datos!M10),Datos!M10," - ")</f>
        <v>22</v>
      </c>
      <c r="E10" s="407">
        <f>IF(ISNUMBER(D10/B10),D10/B10," - ")</f>
        <v>22</v>
      </c>
      <c r="F10" s="406">
        <f>IF(ISNUMBER(Datos!N10),Datos!N10," - ")</f>
        <v>27</v>
      </c>
      <c r="G10" s="407">
        <f>IF(ISNUMBER(F10/B10),F10/B10," - ")</f>
        <v>27</v>
      </c>
      <c r="H10" s="406">
        <f>IF(ISNUMBER(Datos!O10),Datos!O10," - ")</f>
        <v>2</v>
      </c>
      <c r="I10" s="407">
        <f t="shared" ref="I10:I12" si="2">IF(ISNUMBER(H10/B10),H10/B10," - ")</f>
        <v>2</v>
      </c>
    </row>
    <row r="11" spans="1:9">
      <c r="A11" s="405" t="str">
        <f>Datos!A11</f>
        <v xml:space="preserve">Jdos. Familia                                   </v>
      </c>
      <c r="B11" s="430">
        <f>Datos!AO11</f>
        <v>1</v>
      </c>
      <c r="C11" s="413">
        <f>Datos!AQ11</f>
        <v>1</v>
      </c>
      <c r="D11" s="406">
        <f>IF(ISNUMBER(Datos!M11),Datos!M11," - ")</f>
        <v>169</v>
      </c>
      <c r="E11" s="407">
        <f t="shared" si="0"/>
        <v>169</v>
      </c>
      <c r="F11" s="406">
        <f>IF(ISNUMBER(Datos!N11),Datos!N11," - ")</f>
        <v>215</v>
      </c>
      <c r="G11" s="407">
        <f t="shared" si="1"/>
        <v>215</v>
      </c>
      <c r="H11" s="406">
        <f>IF(ISNUMBER(Datos!O11),Datos!O11," - ")</f>
        <v>116</v>
      </c>
      <c r="I11" s="407">
        <f t="shared" si="2"/>
        <v>116</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8</v>
      </c>
      <c r="C13" s="854">
        <f>Datos!AR13</f>
        <v>8</v>
      </c>
      <c r="D13" s="852">
        <f>SUBTOTAL(9,D9:D12)</f>
        <v>799</v>
      </c>
      <c r="E13" s="853">
        <f t="shared" si="0"/>
        <v>99.875</v>
      </c>
      <c r="F13" s="852">
        <f>SUBTOTAL(9,F9:F12)</f>
        <v>1169</v>
      </c>
      <c r="G13" s="853">
        <f t="shared" si="1"/>
        <v>146.125</v>
      </c>
      <c r="H13" s="852">
        <f>SUBTOTAL(9,H9:H12)</f>
        <v>1664</v>
      </c>
      <c r="I13" s="853">
        <f>IF(ISNUMBER(H13/B13),H13/B13," - ")</f>
        <v>208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267</v>
      </c>
      <c r="E15" s="407">
        <f t="shared" ref="E15:E18" si="3">IF(ISNUMBER(D15/B15),D15/B15," - ")</f>
        <v>89</v>
      </c>
      <c r="F15" s="406">
        <f>IF(ISNUMBER(Datos!N15),Datos!N15," - ")</f>
        <v>1124</v>
      </c>
      <c r="G15" s="407">
        <f t="shared" ref="G15:G18" si="4">IF(ISNUMBER(F15/B15),F15/B15," - ")</f>
        <v>374.66666666666669</v>
      </c>
      <c r="H15" s="406">
        <f>IF(ISNUMBER(Datos!O15),Datos!O15," - ")</f>
        <v>115</v>
      </c>
      <c r="I15" s="407">
        <f t="shared" ref="I15:I17" si="5">IF(ISNUMBER(H15/B15),H15/B15," - ")</f>
        <v>38.333333333333336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38</v>
      </c>
      <c r="E17" s="407">
        <f>IF(ISNUMBER(D17/B17),D17/B17," - ")</f>
        <v>38</v>
      </c>
      <c r="F17" s="406">
        <f>IF(ISNUMBER(Datos!N17),Datos!N17," - ")</f>
        <v>153</v>
      </c>
      <c r="G17" s="407">
        <f>IF(ISNUMBER(F17/B17),F17/B17," - ")</f>
        <v>153</v>
      </c>
      <c r="H17" s="406">
        <f>IF(ISNUMBER(Datos!O17),Datos!O17," - ")</f>
        <v>0</v>
      </c>
      <c r="I17" s="407">
        <f t="shared" si="5"/>
        <v>0</v>
      </c>
    </row>
    <row r="18" spans="1:9" ht="14.25" thickTop="1" thickBot="1">
      <c r="A18" s="851" t="str">
        <f>Datos!A18</f>
        <v>TOTAL</v>
      </c>
      <c r="B18" s="852">
        <f>Datos!AO18</f>
        <v>4</v>
      </c>
      <c r="C18" s="854">
        <f>Datos!AR18</f>
        <v>4</v>
      </c>
      <c r="D18" s="852">
        <f>SUBTOTAL(9,D15:D17)</f>
        <v>305</v>
      </c>
      <c r="E18" s="853">
        <f t="shared" si="3"/>
        <v>76.25</v>
      </c>
      <c r="F18" s="852">
        <f>SUBTOTAL(9,F15:F17)</f>
        <v>1277</v>
      </c>
      <c r="G18" s="853">
        <f t="shared" si="4"/>
        <v>319.25</v>
      </c>
      <c r="H18" s="852">
        <f>SUBTOTAL(9,H15:H17)</f>
        <v>115</v>
      </c>
      <c r="I18" s="853">
        <f>IF(ISNUMBER(H18/B18),H18/B18," - ")</f>
        <v>28.75</v>
      </c>
    </row>
    <row r="19" spans="1:9" ht="14.25" thickTop="1" thickBot="1">
      <c r="A19" s="796" t="str">
        <f>Datos!A19</f>
        <v>TOTAL JURISDICCIONES</v>
      </c>
      <c r="B19" s="797">
        <f>Datos!AP19</f>
        <v>11</v>
      </c>
      <c r="C19" s="797">
        <f>Datos!AR19</f>
        <v>11</v>
      </c>
      <c r="D19" s="797">
        <f>SUBTOTAL(9,D8:D18)</f>
        <v>1104</v>
      </c>
      <c r="E19" s="798">
        <f>IF(ISNUMBER(D19/B19),D19/B19," - ")</f>
        <v>100.36363636363636</v>
      </c>
      <c r="F19" s="797">
        <f>SUBTOTAL(9,F8:F18)</f>
        <v>2446</v>
      </c>
      <c r="G19" s="798">
        <f>IF(ISNUMBER(F19/B19),F19/B19," - ")</f>
        <v>222.36363636363637</v>
      </c>
      <c r="H19" s="797">
        <f>SUBTOTAL(9,H8:H18)</f>
        <v>1779</v>
      </c>
      <c r="I19" s="798">
        <f>IF(ISNUMBER(H19/B19),H19/B19," - ")</f>
        <v>161.72727272727272</v>
      </c>
    </row>
    <row r="22" spans="1:9">
      <c r="A22" s="394" t="str">
        <f>Criterios!A4</f>
        <v>Fecha Informe: 07 mar. 2024</v>
      </c>
    </row>
    <row r="27" spans="1:9">
      <c r="A27" s="417"/>
    </row>
  </sheetData>
  <sheetProtection algorithmName="SHA-512" hashValue="VVJbpBwnobuZEUmOBy1iiEtpKmXfsFbruYpA/+PgKZ0En3nKLEmk68Ucm3H3oEwMfrz1ir08X2ZTVJH+vi3lbg==" saltValue="YTKC8d30ASKg7+OZJjQy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LOGROÑO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726</v>
      </c>
      <c r="C9" s="437">
        <f>IF(ISNUMBER(Datos!Q9),Datos!Q9," - ")</f>
        <v>695</v>
      </c>
      <c r="D9" s="411">
        <f>IF(ISNUMBER(Datos!R9),Datos!R9," - ")</f>
        <v>7610</v>
      </c>
    </row>
    <row r="10" spans="1:4">
      <c r="A10" s="405" t="str">
        <f>Datos!A10</f>
        <v>Jdos. Violencia contra la mujer</v>
      </c>
      <c r="B10" s="436">
        <f>IF(ISNUMBER(Datos!P10),Datos!P10," - ")</f>
        <v>12</v>
      </c>
      <c r="C10" s="437">
        <f>IF(ISNUMBER(Datos!Q10),Datos!Q10," - ")</f>
        <v>2</v>
      </c>
      <c r="D10" s="411">
        <f>IF(ISNUMBER(Datos!R10),Datos!R10," - ")</f>
        <v>179</v>
      </c>
    </row>
    <row r="11" spans="1:4">
      <c r="A11" s="405" t="str">
        <f>Datos!A11</f>
        <v xml:space="preserve">Jdos. Familia                                   </v>
      </c>
      <c r="B11" s="436">
        <f>IF(ISNUMBER(Datos!P11),Datos!P11," - ")</f>
        <v>41</v>
      </c>
      <c r="C11" s="437">
        <f>IF(ISNUMBER(Datos!Q11),Datos!Q11," - ")</f>
        <v>31</v>
      </c>
      <c r="D11" s="411">
        <f>IF(ISNUMBER(Datos!R11),Datos!R11," - ")</f>
        <v>620</v>
      </c>
    </row>
    <row r="12" spans="1:4" ht="13.5" thickBot="1">
      <c r="A12" s="405" t="str">
        <f>Datos!A12</f>
        <v xml:space="preserve">Jdos. 1ª Instª. e Instr.                        </v>
      </c>
      <c r="B12" s="436">
        <f>IF(ISNUMBER(Datos!P12),Datos!P12," - ")</f>
        <v>0</v>
      </c>
      <c r="C12" s="437">
        <f>IF(ISNUMBER(Datos!Q12),Datos!Q12," - ")</f>
        <v>1</v>
      </c>
      <c r="D12" s="411">
        <f>IF(ISNUMBER(Datos!R12),Datos!R12," - ")</f>
        <v>49</v>
      </c>
    </row>
    <row r="13" spans="1:4" ht="14.25" thickTop="1" thickBot="1">
      <c r="A13" s="851" t="str">
        <f>Datos!A13</f>
        <v>TOTAL</v>
      </c>
      <c r="B13" s="852">
        <f>SUBTOTAL(9,B9:B12)</f>
        <v>779</v>
      </c>
      <c r="C13" s="856">
        <f>SUBTOTAL(9,C9:C12)</f>
        <v>729</v>
      </c>
      <c r="D13" s="854">
        <f>SUBTOTAL(9,D9:D12)</f>
        <v>8458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127</v>
      </c>
      <c r="C15" s="437">
        <f>IF(ISNUMBER(Datos!Q15),Datos!Q15," - ")</f>
        <v>116</v>
      </c>
      <c r="D15" s="411">
        <f>IF(ISNUMBER(Datos!R15),Datos!R15," - ")</f>
        <v>323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2</v>
      </c>
      <c r="D17" s="411">
        <f>IF(ISNUMBER(Datos!R17),Datos!R17," - ")</f>
        <v>5</v>
      </c>
    </row>
    <row r="18" spans="1:4" ht="14.25" thickTop="1" thickBot="1">
      <c r="A18" s="851" t="str">
        <f>Datos!A18</f>
        <v>TOTAL</v>
      </c>
      <c r="B18" s="852">
        <f>SUBTOTAL(9,B15:B17)</f>
        <v>129</v>
      </c>
      <c r="C18" s="856">
        <f>SUBTOTAL(9,C15:C17)</f>
        <v>118</v>
      </c>
      <c r="D18" s="854">
        <f>SUBTOTAL(9,D15:D17)</f>
        <v>328</v>
      </c>
    </row>
    <row r="19" spans="1:4" ht="16.5" customHeight="1" thickTop="1" thickBot="1">
      <c r="A19" s="796" t="str">
        <f>Datos!A19</f>
        <v>TOTAL JURISDICCIONES</v>
      </c>
      <c r="B19" s="801">
        <f>SUBTOTAL(9,B8:B18)</f>
        <v>908</v>
      </c>
      <c r="C19" s="802">
        <f>SUBTOTAL(9,C8:C18)</f>
        <v>847</v>
      </c>
      <c r="D19" s="803">
        <f>SUBTOTAL(9,D8:D18)</f>
        <v>8786</v>
      </c>
    </row>
    <row r="20" spans="1:4" ht="7.5" customHeight="1"/>
    <row r="21" spans="1:4" ht="6" customHeight="1"/>
    <row r="22" spans="1:4">
      <c r="A22" s="394" t="str">
        <f>Criterios!A4</f>
        <v>Fecha Informe: 07 mar. 2024</v>
      </c>
    </row>
    <row r="27" spans="1:4">
      <c r="A27" s="417"/>
    </row>
  </sheetData>
  <sheetProtection algorithmName="SHA-512" hashValue="gcdH/oZ62dxZB4pCBE27Qh6/OdO6vNc3cgyZ5N5FefYm7jHVMp0nnQ8r45+moOSji8Z27KFXYutvJOYi9eoznA==" saltValue="su1KT+eorvbqs4VZ9tal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LOGROÑO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0.6406000638365783</v>
      </c>
      <c r="C9" s="459">
        <f>IF(ISNUMBER(
   IF(J_V="SI",(Datos!J9-Datos!T9)/Datos!T9,(Datos!J9+Datos!Z9-(Datos!T9+Datos!AH9))/(Datos!T9+Datos!AH9))
     ),IF(J_V="SI",(Datos!J9-Datos!T9)/Datos!T9,(Datos!J9+Datos!Z9-(Datos!T9+Datos!AH9))/(Datos!T9+Datos!AH9))," - ")</f>
        <v>0.3158139534883721</v>
      </c>
      <c r="D9" s="459">
        <f>IF(ISNUMBER(
   IF(J_V="SI",(Datos!K9-Datos!U9)/Datos!U9,(Datos!K9+Datos!AA9-(Datos!U9+Datos!AI9))/(Datos!U9+Datos!AI9))
     ),IF(J_V="SI",(Datos!K9-Datos!U9)/Datos!U9,(Datos!K9+Datos!AA9-(Datos!U9+Datos!AI9))/(Datos!U9+Datos!AI9))," - ")</f>
        <v>0.35062972292191436</v>
      </c>
      <c r="E9" s="459">
        <f>IF(ISNUMBER(
   IF(J_V="SI",(Datos!L9-Datos!V9)/Datos!V9,(Datos!L9+Datos!AB9-(Datos!V9+Datos!AJ9))/(Datos!V9+Datos!AJ9))
     ),IF(J_V="SI",(Datos!L9-Datos!V9)/Datos!V9,(Datos!L9+Datos!AB9-(Datos!V9+Datos!AJ9))/(Datos!V9+Datos!AJ9))," - ")</f>
        <v>0.60491206791995145</v>
      </c>
      <c r="F9" s="459">
        <f>IF(ISNUMBER((Datos!M9-Datos!W9)/Datos!W9),(Datos!M9-Datos!W9)/Datos!W9," - ")</f>
        <v>0.16698656429942418</v>
      </c>
      <c r="G9" s="460">
        <f>IF(ISNUMBER((Datos!N9-Datos!X9)/Datos!X9),(Datos!N9-Datos!X9)/Datos!X9," - ")</f>
        <v>0.25270270270270268</v>
      </c>
      <c r="H9" s="458">
        <f>IF(ISNUMBER(((NºAsuntos!G9/NºAsuntos!E9)-Datos!BD9)/Datos!BD9),((NºAsuntos!G9/NºAsuntos!E9)-Datos!BD9)/Datos!BD9," - ")</f>
        <v>2.645949249986429E-2</v>
      </c>
      <c r="I9" s="459">
        <f>IF(ISNUMBER(((NºAsuntos!I9/NºAsuntos!G9)-Datos!BE9)/Datos!BE9),((NºAsuntos!I9/NºAsuntos!G9)-Datos!BE9)/Datos!BE9," - ")</f>
        <v>0.18826947214513384</v>
      </c>
      <c r="J9" s="464">
        <f>IF(ISNUMBER((('Resol  Asuntos'!D9/NºAsuntos!G9)-Datos!BF9)/Datos!BF9),(('Resol  Asuntos'!D9/NºAsuntos!G9)-Datos!BF9)/Datos!BF9," - ")</f>
        <v>-0.39167515146627424</v>
      </c>
      <c r="K9" s="465">
        <f>IF(ISNUMBER((((NºAsuntos!C9+NºAsuntos!E9)/NºAsuntos!G9)-Datos!BG9)/Datos!BG9),(((NºAsuntos!C9+NºAsuntos!E9)/NºAsuntos!G9)-Datos!BG9)/Datos!BG9," - ")</f>
        <v>0.11682959346211441</v>
      </c>
    </row>
    <row r="10" spans="1:11">
      <c r="A10" s="405" t="str">
        <f>Datos!A10</f>
        <v>Jdos. Violencia contra la mujer</v>
      </c>
      <c r="B10" s="458">
        <f>IF(ISNUMBER((Datos!I10-Datos!S10)/Datos!S10),(Datos!I10-Datos!S10)/Datos!S10," - ")</f>
        <v>0.26060606060606062</v>
      </c>
      <c r="C10" s="459">
        <f>IF(ISNUMBER((Datos!J10-Datos!T10)/Datos!T10),(Datos!J10-Datos!T10)/Datos!T10," - ")</f>
        <v>0.19148936170212766</v>
      </c>
      <c r="D10" s="459">
        <f>IF(ISNUMBER((Datos!K10-Datos!U10)/Datos!U10),(Datos!K10-Datos!U10)/Datos!U10," - ")</f>
        <v>-0.203125</v>
      </c>
      <c r="E10" s="459">
        <f>IF(ISNUMBER((Datos!L10-Datos!V10)/Datos!V10),(Datos!L10-Datos!V10)/Datos!V10," - ")</f>
        <v>0.4391891891891892</v>
      </c>
      <c r="F10" s="459">
        <f>IF(ISNUMBER((Datos!M10-Datos!W10)/Datos!W10),(Datos!M10-Datos!W10)/Datos!W10," - ")</f>
        <v>4.7619047619047616E-2</v>
      </c>
      <c r="G10" s="460">
        <f>IF(ISNUMBER((Datos!N10-Datos!X10)/Datos!X10),(Datos!N10-Datos!X10)/Datos!X10," - ")</f>
        <v>0.8</v>
      </c>
      <c r="H10" s="458">
        <f>IF(ISNUMBER(((NºAsuntos!G10/NºAsuntos!E10)-Datos!BD10)/Datos!BD10),((NºAsuntos!G10/NºAsuntos!E10)-Datos!BD10)/Datos!BD10," - ")</f>
        <v>-0.3311941964285714</v>
      </c>
      <c r="I10" s="459">
        <f>IF(ISNUMBER(((NºAsuntos!I10/NºAsuntos!G10)-Datos!BE10)/Datos!BE10),((NºAsuntos!I10/NºAsuntos!G10)-Datos!BE10)/Datos!BE10," - ")</f>
        <v>0.8060413354531003</v>
      </c>
      <c r="J10" s="464">
        <f>IF(ISNUMBER((('Resol  Asuntos'!D10/NºAsuntos!G10)-Datos!BF10)/Datos!BF10),(('Resol  Asuntos'!D10/NºAsuntos!G10)-Datos!BF10)/Datos!BF10," - ")</f>
        <v>0.31465919701213824</v>
      </c>
      <c r="K10" s="465">
        <f>IF(ISNUMBER((((NºAsuntos!C10+NºAsuntos!E10)/NºAsuntos!G10)-Datos!BG10)/Datos!BG10),(((NºAsuntos!C10+NºAsuntos!E10)/NºAsuntos!G10)-Datos!BG10)/Datos!BG10," - ")</f>
        <v>0.56270810210876809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0.38778220451527223</v>
      </c>
      <c r="C11" s="459">
        <f>IF(ISNUMBER(
   IF(J_V="SI",(Datos!J11-Datos!T11)/Datos!T11,(Datos!J11+Datos!Z11-(Datos!T11+Datos!AH11))/(Datos!T11+Datos!AH11))
     ),IF(J_V="SI",(Datos!J11-Datos!T11)/Datos!T11,(Datos!J11+Datos!Z11-(Datos!T11+Datos!AH11))/(Datos!T11+Datos!AH11))," - ")</f>
        <v>-0.24528301886792453</v>
      </c>
      <c r="D11" s="459">
        <f>IF(ISNUMBER(
   IF(J_V="SI",(Datos!K11-Datos!U11)/Datos!U11,(Datos!K11+Datos!AA11-(Datos!U11+Datos!AI11))/(Datos!U11+Datos!AI11))
     ),IF(J_V="SI",(Datos!K11-Datos!U11)/Datos!U11,(Datos!K11+Datos!AA11-(Datos!U11+Datos!AI11))/(Datos!U11+Datos!AI11))," - ")</f>
        <v>2.6315789473684209E-2</v>
      </c>
      <c r="E11" s="459">
        <f>IF(ISNUMBER(
   IF(J_V="SI",(Datos!L11-Datos!V11)/Datos!V11,(Datos!L11+Datos!AB11-(Datos!V11+Datos!AJ11))/(Datos!V11+Datos!AJ11))
     ),IF(J_V="SI",(Datos!L11-Datos!V11)/Datos!V11,(Datos!L11+Datos!AB11-(Datos!V11+Datos!AJ11))/(Datos!V11+Datos!AJ11))," - ")</f>
        <v>0.18137847642079807</v>
      </c>
      <c r="F11" s="459">
        <f>IF(ISNUMBER((Datos!M11-Datos!W11)/Datos!W11),(Datos!M11-Datos!W11)/Datos!W11," - ")</f>
        <v>0.48245614035087719</v>
      </c>
      <c r="G11" s="460">
        <f>IF(ISNUMBER((Datos!N11-Datos!X11)/Datos!X11),(Datos!N11-Datos!X11)/Datos!X11," - ")</f>
        <v>-0.29042904290429045</v>
      </c>
      <c r="H11" s="458">
        <f>IF(ISNUMBER(((NºAsuntos!G11/NºAsuntos!E11)-Datos!BD11)/Datos!BD11),((NºAsuntos!G11/NºAsuntos!E11)-Datos!BD11)/Datos!BD11," - ")</f>
        <v>0.35986842105263145</v>
      </c>
      <c r="I11" s="459">
        <f>IF(ISNUMBER(((NºAsuntos!I11/NºAsuntos!G11)-Datos!BE11)/Datos!BE11),((NºAsuntos!I11/NºAsuntos!G11)-Datos!BE11)/Datos!BE11," - ")</f>
        <v>0.15108672061513664</v>
      </c>
      <c r="J11" s="464">
        <f>IF(ISNUMBER((('Resol  Asuntos'!D11/NºAsuntos!G11)-Datos!BF11)/Datos!BF11),(('Resol  Asuntos'!D11/NºAsuntos!G11)-Datos!BF11)/Datos!BF11," - ")</f>
        <v>-0.45654565456545654</v>
      </c>
      <c r="K11" s="465">
        <f>IF(ISNUMBER((((NºAsuntos!C11+NºAsuntos!E11)/NºAsuntos!G11)-Datos!BG11)/Datos!BG11),(((NºAsuntos!C11+NºAsuntos!E11)/NºAsuntos!G11)-Datos!BG11)/Datos!BG11," - ")</f>
        <v>9.7387932929632104E-2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0.57798617966436328</v>
      </c>
      <c r="C13" s="858">
        <f>IF(ISNUMBER(
   IF(J_V="SI",(Datos!J13-Datos!T13)/Datos!T13,(Datos!J13+Datos!Z13-(Datos!T13+Datos!AH13))/(Datos!T13+Datos!AH13))
     ),IF(J_V="SI",(Datos!J13-Datos!T13)/Datos!T13,(Datos!J13+Datos!Z13-(Datos!T13+Datos!AH13))/(Datos!T13+Datos!AH13))," - ")</f>
        <v>0.20462046204620463</v>
      </c>
      <c r="D13" s="858">
        <f>IF(ISNUMBER(
   IF(J_V="SI",(Datos!K13-Datos!U13)/Datos!U13,(Datos!K13+Datos!AA13-(Datos!U13+Datos!AI13))/(Datos!U13+Datos!AI13))
     ),IF(J_V="SI",(Datos!K13-Datos!U13)/Datos!U13,(Datos!K13+Datos!AA13-(Datos!U13+Datos!AI13))/(Datos!U13+Datos!AI13))," - ")</f>
        <v>0.27744510978043913</v>
      </c>
      <c r="E13" s="858">
        <f>IF(ISNUMBER(
   IF(J_V="SI",(Datos!L13-Datos!V13)/Datos!V13,(Datos!L13+Datos!AB13-(Datos!V13+Datos!AJ13))/(Datos!V13+Datos!AJ13))
     ),IF(J_V="SI",(Datos!L13-Datos!V13)/Datos!V13,(Datos!L13+Datos!AB13-(Datos!V13+Datos!AJ13))/(Datos!V13+Datos!AJ13))," - ")</f>
        <v>0.51708001871782872</v>
      </c>
      <c r="F13" s="859">
        <f>IF(ISNUMBER((Datos!M13-Datos!W13)/Datos!W13),(Datos!M13-Datos!W13)/Datos!W13," - ")</f>
        <v>0.21798780487804878</v>
      </c>
      <c r="G13" s="860">
        <f>IF(ISNUMBER((Datos!N13-Datos!X13)/Datos!X13),(Datos!N13-Datos!X13)/Datos!X13," - ")</f>
        <v>0.10491493383742911</v>
      </c>
      <c r="H13" s="860">
        <f>IF(ISNUMBER(((NºAsuntos!G13/NºAsuntos!E13)-Datos!BD13)/Datos!BD13),((NºAsuntos!G13/NºAsuntos!E13)-Datos!BD13)/Datos!BD13," - ")</f>
        <v>6.0454433598556283E-2</v>
      </c>
      <c r="I13" s="860">
        <f>IF(ISNUMBER(((NºAsuntos!I13/NºAsuntos!G13)-Datos!BE13)/Datos!BE13),((NºAsuntos!I13/NºAsuntos!G13)-Datos!BE13)/Datos!BE13," - ")</f>
        <v>0.18758920215255037</v>
      </c>
      <c r="J13" s="860">
        <f>IF(ISNUMBER((('Resol  Asuntos'!D13/NºAsuntos!G13)-Datos!BF13)/Datos!BF13),(('Resol  Asuntos'!D13/NºAsuntos!G13)-Datos!BF13)/Datos!BF13," - ")</f>
        <v>-0.41215489896616542</v>
      </c>
      <c r="K13" s="860">
        <f>IF(ISNUMBER((((NºAsuntos!C13+NºAsuntos!E13)/NºAsuntos!G13)-Datos!BG13)/Datos!BG13),(((NºAsuntos!C13+NºAsuntos!E13)/NºAsuntos!G13)-Datos!BG13)/Datos!BG13," - ")</f>
        <v>0.11769319774303011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0.58415841584158412</v>
      </c>
      <c r="C15" s="459">
        <f>IF(ISNUMBER(
   IF(D_I="SI",(Datos!J15-Datos!T15)/Datos!T15,(Datos!J15+Datos!AD15-(Datos!T15+Datos!AL15))/(Datos!T15+Datos!AL15))
     ),IF(D_I="SI",(Datos!J15-Datos!T15)/Datos!T15,(Datos!J15+Datos!AD15-(Datos!T15+Datos!AL15))/(Datos!T15+Datos!AL15))," - ")</f>
        <v>9.6366508688783575E-2</v>
      </c>
      <c r="D15" s="459">
        <f>IF(ISNUMBER(
   IF(D_I="SI",(Datos!K15-Datos!U15)/Datos!U15,(Datos!K15+Datos!AE15-(Datos!U15+Datos!AM15))/(Datos!U15+Datos!AM15))
     ),IF(D_I="SI",(Datos!K15-Datos!U15)/Datos!U15,(Datos!K15+Datos!AE15-(Datos!U15+Datos!AM15))/(Datos!U15+Datos!AM15))," - ")</f>
        <v>1.4736842105263158E-2</v>
      </c>
      <c r="E15" s="459">
        <f>IF(ISNUMBER(
   IF(D_I="SI",(Datos!L15-Datos!V15)/Datos!V15,(Datos!L15+Datos!AF15-(Datos!V15+Datos!AN15))/(Datos!V15+Datos!AN15))
     ),IF(D_I="SI",(Datos!L15-Datos!V15)/Datos!V15,(Datos!L15+Datos!AF15-(Datos!V15+Datos!AN15))/(Datos!V15+Datos!AN15))," - ")</f>
        <v>0.6735598227474151</v>
      </c>
      <c r="F15" s="459">
        <f>IF(ISNUMBER((Datos!M15-Datos!W15)/Datos!W15),(Datos!M15-Datos!W15)/Datos!W15," - ")</f>
        <v>-6.968641114982578E-2</v>
      </c>
      <c r="G15" s="460">
        <f>IF(ISNUMBER((Datos!N15-Datos!X15)/Datos!X15),(Datos!N15-Datos!X15)/Datos!X15," - ")</f>
        <v>2.0890099909173478E-2</v>
      </c>
      <c r="H15" s="458">
        <f>IF(ISNUMBER(((NºAsuntos!G15/NºAsuntos!E15)-Datos!BD15)/Datos!BD15),((NºAsuntos!G15/NºAsuntos!E15)-Datos!BD15)/Datos!BD15," - ")</f>
        <v>-7.4454724708023792E-2</v>
      </c>
      <c r="I15" s="459">
        <f>IF(ISNUMBER(((NºAsuntos!I15/NºAsuntos!G15)-Datos!BE15)/Datos!BE15),((NºAsuntos!I15/NºAsuntos!G15)-Datos!BE15)/Datos!BE15," - ")</f>
        <v>0.64925501204361435</v>
      </c>
      <c r="J15" s="464">
        <f>IF(ISNUMBER((('Resol  Asuntos'!D15/NºAsuntos!G15)-Datos!BF15)/Datos!BF15),(('Resol  Asuntos'!D15/NºAsuntos!G15)-Datos!BF15)/Datos!BF15," - ")</f>
        <v>-8.3197189411135242E-2</v>
      </c>
      <c r="K15" s="465">
        <f>IF(ISNUMBER((((NºAsuntos!C15+NºAsuntos!E15)/NºAsuntos!G15)-Datos!BG15)/Datos!BG15),(((NºAsuntos!C15+NºAsuntos!E15)/NºAsuntos!G15)-Datos!BG15)/Datos!BG15," - ")</f>
        <v>0.32821904986770489</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0.27755102040816326</v>
      </c>
      <c r="C17" s="459">
        <f>IF(ISNUMBER(
   IF(D_I="SI",(Datos!J17-Datos!T17)/Datos!T17,(Datos!J17+Datos!AD17-(Datos!T17+Datos!AL17))/(Datos!T17+Datos!AL17))
     ),IF(D_I="SI",(Datos!J17-Datos!T17)/Datos!T17,(Datos!J17+Datos!AD17-(Datos!T17+Datos!AL17))/(Datos!T17+Datos!AL17))," - ")</f>
        <v>0.38797814207650272</v>
      </c>
      <c r="D17" s="459">
        <f>IF(ISNUMBER(
   IF(D_I="SI",(Datos!K17-Datos!U17)/Datos!U17,(Datos!K17+Datos!AE17-(Datos!U17+Datos!AM17))/(Datos!U17+Datos!AM17))
     ),IF(D_I="SI",(Datos!K17-Datos!U17)/Datos!U17,(Datos!K17+Datos!AE17-(Datos!U17+Datos!AM17))/(Datos!U17+Datos!AM17))," - ")</f>
        <v>0.43373493975903615</v>
      </c>
      <c r="E17" s="459">
        <f>IF(ISNUMBER(
   IF(D_I="SI",(Datos!L17-Datos!V17)/Datos!V17,(Datos!L17+Datos!AF17-(Datos!V17+Datos!AN17))/(Datos!V17+Datos!AN17))
     ),IF(D_I="SI",(Datos!L17-Datos!V17)/Datos!V17,(Datos!L17+Datos!AF17-(Datos!V17+Datos!AN17))/(Datos!V17+Datos!AN17))," - ")</f>
        <v>0.25572519083969464</v>
      </c>
      <c r="F17" s="459">
        <f>IF(ISNUMBER((Datos!M17-Datos!W17)/Datos!W17),(Datos!M17-Datos!W17)/Datos!W17," - ")</f>
        <v>0.22580645161290322</v>
      </c>
      <c r="G17" s="460">
        <f>IF(ISNUMBER((Datos!N17-Datos!X17)/Datos!X17),(Datos!N17-Datos!X17)/Datos!X17," - ")</f>
        <v>0.62765957446808507</v>
      </c>
      <c r="H17" s="458">
        <f>IF(ISNUMBER(((NºAsuntos!G17/NºAsuntos!E17)-Datos!BD17)/Datos!BD17),((NºAsuntos!G17/NºAsuntos!E17)-Datos!BD17)/Datos!BD17," - ")</f>
        <v>3.2966511716155958E-2</v>
      </c>
      <c r="I17" s="459">
        <f>IF(ISNUMBER(((NºAsuntos!I17/NºAsuntos!G17)-Datos!BE17)/Datos!BE17),((NºAsuntos!I17/NºAsuntos!G17)-Datos!BE17)/Datos!BE17," - ")</f>
        <v>-0.1241580601706332</v>
      </c>
      <c r="J17" s="464">
        <f>IF(ISNUMBER((('Resol  Asuntos'!D17/NºAsuntos!G17)-Datos!BF17)/Datos!BF17),(('Resol  Asuntos'!D17/NºAsuntos!G17)-Datos!BF17)/Datos!BF17," - ")</f>
        <v>-0.14502575223637845</v>
      </c>
      <c r="K17" s="465">
        <f>IF(ISNUMBER((((NºAsuntos!C17+NºAsuntos!E17)/NºAsuntos!G17)-Datos!BG17)/Datos!BG17),(((NºAsuntos!C17+NºAsuntos!E17)/NºAsuntos!G17)-Datos!BG17)/Datos!BG17," - ")</f>
        <v>-7.6003298515667991E-2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0.55099337748344368</v>
      </c>
      <c r="C18" s="858">
        <f>IF(ISNUMBER(
   IF(Criterios!B14="SI",(Datos!J18-Datos!T18)/Datos!T18,(Datos!J18+Datos!AD18-(Datos!T18+Datos!AL18))/(Datos!T18+Datos!AL18))
     ),IF(Criterios!B14="SI",(Datos!J18-Datos!T18)/Datos!T18,(Datos!J18+Datos!AD18-(Datos!T18+Datos!AL18))/(Datos!T18+Datos!AL18))," - ")</f>
        <v>0.12199807877041306</v>
      </c>
      <c r="D18" s="858">
        <f>IF(ISNUMBER(
   IF(Criterios!B14="SI",(Datos!K18-Datos!U18)/Datos!U18,(Datos!K18+Datos!AE18-(Datos!U18+Datos!AM18))/(Datos!U18+Datos!AM18))
     ),IF(Criterios!B14="SI",(Datos!K18-Datos!U18)/Datos!U18,(Datos!K18+Datos!AE18-(Datos!U18+Datos!AM18))/(Datos!U18+Datos!AM18))," - ")</f>
        <v>4.8402710551790899E-2</v>
      </c>
      <c r="E18" s="858">
        <f>IF(ISNUMBER(
   IF(Criterios!B14="SI",(Datos!L18-Datos!V18)/Datos!V18,(Datos!L18+Datos!AF18-(Datos!V18+Datos!AN18))/(Datos!V18+Datos!AN18))
     ),IF(Criterios!B14="SI",(Datos!L18-Datos!V18)/Datos!V18,(Datos!L18+Datos!AF18-(Datos!V18+Datos!AN18))/(Datos!V18+Datos!AN18))," - ")</f>
        <v>0.62581770606192766</v>
      </c>
      <c r="F18" s="859">
        <f>IF(ISNUMBER((Datos!M18-Datos!W18)/Datos!W18),(Datos!M18-Datos!W18)/Datos!W18," - ")</f>
        <v>-4.0880503144654086E-2</v>
      </c>
      <c r="G18" s="860">
        <f>IF(ISNUMBER((Datos!N18-Datos!X18)/Datos!X18),(Datos!N18-Datos!X18)/Datos!X18," - ")</f>
        <v>6.8619246861924679E-2</v>
      </c>
      <c r="H18" s="860">
        <f>IF(ISNUMBER(((NºAsuntos!G18/NºAsuntos!E18)-Datos!BD18)/Datos!BD18),((NºAsuntos!G18/NºAsuntos!E18)-Datos!BD18)/Datos!BD18," - ")</f>
        <v>-6.5593132119508332E-2</v>
      </c>
      <c r="I18" s="860">
        <f>IF(ISNUMBER(((NºAsuntos!I18/NºAsuntos!G18)-Datos!BE18)/Datos!BE18),((NºAsuntos!I18/NºAsuntos!G18)-Datos!BE18)/Datos!BE18," - ")</f>
        <v>0.55075687014032437</v>
      </c>
      <c r="J18" s="860">
        <f>IF(ISNUMBER((('Resol  Asuntos'!D18/NºAsuntos!G18)-Datos!BF18)/Datos!BF18),(('Resol  Asuntos'!D18/NºAsuntos!G18)-Datos!BF18)/Datos!BF18," - ")</f>
        <v>-8.5161181669831804E-2</v>
      </c>
      <c r="K18" s="860">
        <f>IF(ISNUMBER((((NºAsuntos!C18+NºAsuntos!E18)/NºAsuntos!G18)-Datos!BG18)/Datos!BG18),(((NºAsuntos!C18+NºAsuntos!E18)/NºAsuntos!G18)-Datos!BG18)/Datos!BG18," - ")</f>
        <v>0.28340535209538387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0.56830774101630521</v>
      </c>
      <c r="C19" s="805">
        <f>IF(ISNUMBER(
   IF(J_V="SI",(Datos!J19-Datos!T19)/Datos!T19,(Datos!J19+Datos!Z19-(Datos!T19+Datos!AH19))/(Datos!T19+Datos!AH19))
     ),IF(J_V="SI",(Datos!J19-Datos!T19)/Datos!T19,(Datos!J19+Datos!Z19-(Datos!T19+Datos!AH19))/(Datos!T19+Datos!AH19))," - ")</f>
        <v>0.16885007278020378</v>
      </c>
      <c r="D19" s="805">
        <f>IF(ISNUMBER(
   IF(J_V="SI",(Datos!K19-Datos!U19)/Datos!U19,(Datos!K19+Datos!AA19-(Datos!U19+Datos!AI19))/(Datos!U19+Datos!AI19))
     ),IF(J_V="SI",(Datos!K19-Datos!U19)/Datos!U19,(Datos!K19+Datos!AA19-(Datos!U19+Datos!AI19))/(Datos!U19+Datos!AI19))," - ")</f>
        <v>0.17392255523955372</v>
      </c>
      <c r="E19" s="805">
        <f>IF(ISNUMBER(
   IF(J_V="SI",(Datos!L19-Datos!V19)/Datos!V19,(Datos!L19+Datos!AB19-(Datos!V19+Datos!AJ19))/(Datos!V19+Datos!AJ19))
     ),IF(J_V="SI",(Datos!L19-Datos!V19)/Datos!V19,(Datos!L19+Datos!AB19-(Datos!V19+Datos!AJ19))/(Datos!V19+Datos!AJ19))," - ")</f>
        <v>0.55504796710826865</v>
      </c>
      <c r="F19" s="806">
        <f>IF(ISNUMBER((Datos!M19-Datos!W19)/Datos!W19),(Datos!M19-Datos!W19)/Datos!W19," - ")</f>
        <v>0.13347022587268995</v>
      </c>
      <c r="G19" s="807">
        <f>IF(ISNUMBER((Datos!N19-Datos!X19)/Datos!X19),(Datos!N19-Datos!X19)/Datos!X19," - ")</f>
        <v>8.5663559698180208E-2</v>
      </c>
      <c r="H19" s="808">
        <f>IF(ISNUMBER((Tasas!B19-Datos!BD19)/Datos!BD19),(Tasas!B19-Datos!BD19)/Datos!BD19," - ")</f>
        <v>4.3397203606144628E-3</v>
      </c>
      <c r="I19" s="809">
        <f>IF(ISNUMBER((Tasas!C19-Datos!BE19)/Datos!BE19),(Tasas!C19-Datos!BE19)/Datos!BE19," - ")</f>
        <v>0.32465975729629082</v>
      </c>
      <c r="J19" s="810">
        <f>IF(ISNUMBER((Tasas!D19-Datos!BF19)/Datos!BF19),(Tasas!D19-Datos!BF19)/Datos!BF19," - ")</f>
        <v>-0.31951025727189414</v>
      </c>
      <c r="K19" s="810">
        <f>IF(ISNUMBER((Tasas!E19-Datos!BG19)/Datos!BG19),(Tasas!E19-Datos!BG19)/Datos!BG19," - ")</f>
        <v>0.18887725855478893</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DiGRTAO5bLy2D4nImiFBsRRafeZNnQzZmp1lf4zfYyQYetYIonSkv0yOVQCsCGxxM4rYQlFeJvoL1rU3sURXw==" saltValue="wveAzObFtj+VVrsKbwPK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LOGROÑO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0.94768469423824675</v>
      </c>
      <c r="C9" s="446">
        <f>IF(ISNUMBER(NºAsuntos!I9/NºAsuntos!G9),NºAsuntos!I9/NºAsuntos!G9," - ")</f>
        <v>1.9742633345766505</v>
      </c>
      <c r="D9" s="447">
        <f>IF(ISNUMBER('Resol  Asuntos'!D9/NºAsuntos!G9),'Resol  Asuntos'!D9/NºAsuntos!G9," - ")</f>
        <v>0.22678105184632599</v>
      </c>
      <c r="E9" s="448">
        <f>IF(ISNUMBER((NºAsuntos!C9+NºAsuntos!E9)/NºAsuntos!G9),(NºAsuntos!C9+NºAsuntos!E9)/NºAsuntos!G9," - ")</f>
        <v>2.9723983588213354</v>
      </c>
      <c r="G9" s="466"/>
    </row>
    <row r="10" spans="1:7">
      <c r="A10" s="405" t="str">
        <f>Datos!A10</f>
        <v>Jdos. Violencia contra la mujer</v>
      </c>
      <c r="B10" s="445">
        <f>IF(ISNUMBER(NºAsuntos!G10/NºAsuntos!E10),NºAsuntos!G10/NºAsuntos!E10," - ")</f>
        <v>0.9107142857142857</v>
      </c>
      <c r="C10" s="446">
        <f>IF(ISNUMBER(NºAsuntos!I10/NºAsuntos!G10),NºAsuntos!I10/NºAsuntos!G10," - ")</f>
        <v>4.1764705882352944</v>
      </c>
      <c r="D10" s="447">
        <f>IF(ISNUMBER('Resol  Asuntos'!D10/NºAsuntos!G10),'Resol  Asuntos'!D10/NºAsuntos!G10," - ")</f>
        <v>0.43137254901960786</v>
      </c>
      <c r="E10" s="448">
        <f>IF(ISNUMBER((NºAsuntos!C10+NºAsuntos!E10)/NºAsuntos!G10),(NºAsuntos!C10+NºAsuntos!E10)/NºAsuntos!G10," - ")</f>
        <v>5.1764705882352944</v>
      </c>
      <c r="G10" s="466"/>
    </row>
    <row r="11" spans="1:7">
      <c r="A11" s="405" t="str">
        <f>Datos!A11</f>
        <v xml:space="preserve">Jdos. Familia                                   </v>
      </c>
      <c r="B11" s="445">
        <f>IF(ISNUMBER(NºAsuntos!G11/NºAsuntos!E11),NºAsuntos!G11/NºAsuntos!E11," - ")</f>
        <v>1.17</v>
      </c>
      <c r="C11" s="446">
        <f>IF(ISNUMBER(NºAsuntos!I11/NºAsuntos!G11),NºAsuntos!I11/NºAsuntos!G11," - ")</f>
        <v>2.0876068376068377</v>
      </c>
      <c r="D11" s="447">
        <f>IF(ISNUMBER('Resol  Asuntos'!D11/NºAsuntos!G11),'Resol  Asuntos'!D11/NºAsuntos!G11," - ")</f>
        <v>0.3611111111111111</v>
      </c>
      <c r="E11" s="448">
        <f>IF(ISNUMBER((NºAsuntos!C11+NºAsuntos!E11)/NºAsuntos!G11),(NºAsuntos!C11+NºAsuntos!E11)/NºAsuntos!G11," - ")</f>
        <v>3.0876068376068377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0.97412480974124804</v>
      </c>
      <c r="C13" s="862">
        <f>IF(ISNUMBER(NºAsuntos!I13/NºAsuntos!G13),NºAsuntos!I13/NºAsuntos!G13," - ")</f>
        <v>2.0262500000000001</v>
      </c>
      <c r="D13" s="863">
        <f>IF(ISNUMBER('Resol  Asuntos'!D13/NºAsuntos!G13),'Resol  Asuntos'!D13/NºAsuntos!G13," - ")</f>
        <v>0.24968750000000001</v>
      </c>
      <c r="E13" s="864">
        <f>IF(ISNUMBER((NºAsuntos!C13+NºAsuntos!E13)/NºAsuntos!G13),(NºAsuntos!C13+NºAsuntos!E13)/NºAsuntos!G13," - ")</f>
        <v>3.0246875000000002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0.92603266090297787</v>
      </c>
      <c r="C15" s="446">
        <f>IF(ISNUMBER(NºAsuntos!I15/NºAsuntos!G15),NºAsuntos!I15/NºAsuntos!G15," - ")</f>
        <v>1.7629668049792531</v>
      </c>
      <c r="D15" s="447">
        <f>IF(ISNUMBER('Resol  Asuntos'!D15/NºAsuntos!G15),'Resol  Asuntos'!D15/NºAsuntos!G15," - ")</f>
        <v>0.13848547717842324</v>
      </c>
      <c r="E15" s="448">
        <f>IF(ISNUMBER((NºAsuntos!C15+NºAsuntos!E15)/NºAsuntos!G15),(NºAsuntos!C15+NºAsuntos!E15)/NºAsuntos!G15," - ")</f>
        <v>2.7396265560165975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0.93700787401574803</v>
      </c>
      <c r="C17" s="446">
        <f>IF(ISNUMBER(NºAsuntos!I17/NºAsuntos!G17),NºAsuntos!I17/NºAsuntos!G17," - ")</f>
        <v>1.3823529411764706</v>
      </c>
      <c r="D17" s="447">
        <f>IF(ISNUMBER('Resol  Asuntos'!D17/NºAsuntos!G17),'Resol  Asuntos'!D17/NºAsuntos!G17," - ")</f>
        <v>0.15966386554621848</v>
      </c>
      <c r="E17" s="448">
        <f>IF(ISNUMBER((NºAsuntos!C17+NºAsuntos!E17)/NºAsuntos!G17),(NºAsuntos!C17+NºAsuntos!E17)/NºAsuntos!G17," - ")</f>
        <v>2.3823529411764706</v>
      </c>
      <c r="G17" s="466"/>
    </row>
    <row r="18" spans="1:7" ht="14.25" thickTop="1" thickBot="1">
      <c r="A18" s="851" t="str">
        <f>Datos!A18</f>
        <v>TOTAL</v>
      </c>
      <c r="B18" s="861">
        <f>IF(ISNUMBER(NºAsuntos!G18/NºAsuntos!E18),NºAsuntos!G18/NºAsuntos!E18," - ")</f>
        <v>0.92722602739726023</v>
      </c>
      <c r="C18" s="862">
        <f>IF(ISNUMBER(NºAsuntos!I18/NºAsuntos!G18),NºAsuntos!I18/NºAsuntos!G18," - ")</f>
        <v>1.7211449676823638</v>
      </c>
      <c r="D18" s="865">
        <f>IF(ISNUMBER('Resol  Asuntos'!D18/NºAsuntos!G18),'Resol  Asuntos'!D18/NºAsuntos!G18," - ")</f>
        <v>0.14081255771006462</v>
      </c>
      <c r="E18" s="864">
        <f>IF(ISNUMBER((NºAsuntos!C18+NºAsuntos!E18)/NºAsuntos!G18),(NºAsuntos!C18+NºAsuntos!E18)/NºAsuntos!G18," - ")</f>
        <v>2.7003693444136658</v>
      </c>
      <c r="G18" s="466"/>
    </row>
    <row r="19" spans="1:7" ht="15.75" customHeight="1" thickTop="1" thickBot="1">
      <c r="A19" s="796" t="str">
        <f>Datos!A19</f>
        <v>TOTAL JURISDICCIONES</v>
      </c>
      <c r="B19" s="811">
        <f>IF(ISNUMBER(NºAsuntos!G19/NºAsuntos!E19),NºAsuntos!G19/NºAsuntos!E19," - ")</f>
        <v>0.95463440668920119</v>
      </c>
      <c r="C19" s="812">
        <f>IF(ISNUMBER(NºAsuntos!I19/NºAsuntos!G19),NºAsuntos!I19/NºAsuntos!G19," - ")</f>
        <v>1.9030935519940366</v>
      </c>
      <c r="D19" s="813">
        <f>IF(ISNUMBER('Resol  Asuntos'!D19/NºAsuntos!G19),'Resol  Asuntos'!D19/NºAsuntos!G19," - ")</f>
        <v>0.20573984345881477</v>
      </c>
      <c r="E19" s="814">
        <f>IF(ISNUMBER((NºAsuntos!C19+NºAsuntos!E19)/NºAsuntos!G19),(NºAsuntos!C19+NºAsuntos!E19)/NºAsuntos!G19," - ")</f>
        <v>2.8937756243011554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DQU2LuQLkCh+a8+Gvsog6g2yyjGsAOuOixrWDJZH3+k6MrBREysRR5aUVEvBdOlWCb1QtPVOBLAbaGacswlyA==" saltValue="YLPXvG0RtdlFJomKDHMU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LOGROÑO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245</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726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695</v>
      </c>
      <c r="Y9" s="337">
        <f>SUM(W9:X9)</f>
        <v>695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7610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608</v>
      </c>
      <c r="AJ9" s="232" t="str">
        <f>IF(ISNUMBER(Datos!BW9),Datos!BW9," - ")</f>
        <v xml:space="preserve"> - </v>
      </c>
      <c r="AK9" s="231" t="str">
        <f>IF(ISNUMBER(Datos!BX9),Datos!BX9," - ")</f>
        <v xml:space="preserve"> - </v>
      </c>
      <c r="AL9" s="246">
        <f>IF(ISNUMBER(NºAsuntos!G9/NºAsuntos!E9),NºAsuntos!G9/NºAsuntos!E9," - ")</f>
        <v>0.94768469423824675</v>
      </c>
      <c r="AM9" s="263">
        <f>IF(ISNUMBER(((NºAsuntos!I9/NºAsuntos!G9)*11)/factor_trimestre),((NºAsuntos!I9/NºAsuntos!G9)*11)/factor_trimestre," - ")</f>
        <v>5.9227900037299515</v>
      </c>
      <c r="AN9" s="247">
        <f>IF(ISNUMBER('Resol  Asuntos'!D9/NºAsuntos!G9),'Resol  Asuntos'!D9/NºAsuntos!G9," - ")</f>
        <v>0.22678105184632599</v>
      </c>
      <c r="AO9" s="248">
        <f>IF(ISNUMBER((NºAsuntos!C9+NºAsuntos!E9)/NºAsuntos!G9),(NºAsuntos!C9+NºAsuntos!E9)/NºAsuntos!G9," - ")</f>
        <v>2.9723983588213354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1</v>
      </c>
      <c r="F10" s="228">
        <f>IF(ISNUMBER(Datos!L10+Datos!K10-Datos!J10-K10),Datos!L10+Datos!K10-Datos!J10-K10," - ")</f>
        <v>208</v>
      </c>
      <c r="G10" s="336">
        <f>IF(ISNUMBER(Datos!I10),Datos!I10," - ")</f>
        <v>208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51</v>
      </c>
      <c r="X10" s="229">
        <f>IF(ISNUMBER(Datos!Q10),Datos!Q10," - ")</f>
        <v>2</v>
      </c>
      <c r="Y10" s="337">
        <f t="shared" ref="Y10:Y12" si="0">SUM(W10:X10)</f>
        <v>53</v>
      </c>
      <c r="Z10" s="338" t="str">
        <f>IF(ISNUMBER(Datos!CC10),Datos!CC10," - ")</f>
        <v xml:space="preserve"> - </v>
      </c>
      <c r="AA10" s="335">
        <f>IF(ISNUMBER(Datos!L10),Datos!L10,"-")</f>
        <v>213</v>
      </c>
      <c r="AB10" s="337">
        <f>IF(ISNUMBER(Datos!R10),Datos!R10," - ")</f>
        <v>179</v>
      </c>
      <c r="AC10" s="337">
        <f t="shared" ref="AC10:AC12" si="1">IF(ISNUMBER(AA10+AB10),AA10+AB10," - ")</f>
        <v>392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22</v>
      </c>
      <c r="AJ10" s="234" t="str">
        <f>IF(ISNUMBER(Datos!BW10),Datos!BW10," - ")</f>
        <v xml:space="preserve"> - </v>
      </c>
      <c r="AK10" s="235" t="str">
        <f>IF(ISNUMBER(Datos!BX10),Datos!BX10," - ")</f>
        <v xml:space="preserve"> - </v>
      </c>
      <c r="AL10" s="246">
        <f>IF(ISNUMBER(NºAsuntos!G10/NºAsuntos!E10),NºAsuntos!G10/NºAsuntos!E10," - ")</f>
        <v>0.9107142857142857</v>
      </c>
      <c r="AM10" s="263">
        <f>IF(ISNUMBER(((NºAsuntos!I10/NºAsuntos!G10)*11)/factor_trimestre),((NºAsuntos!I10/NºAsuntos!G10)*11)/factor_trimestre," - ")</f>
        <v>12.529411764705884</v>
      </c>
      <c r="AN10" s="247">
        <f>IF(ISNUMBER('Resol  Asuntos'!D10/NºAsuntos!G10),'Resol  Asuntos'!D10/NºAsuntos!G10," - ")</f>
        <v>0.43137254901960786</v>
      </c>
      <c r="AO10" s="248">
        <f>IF(ISNUMBER((NºAsuntos!C10+NºAsuntos!E10)/NºAsuntos!G10),(NºAsuntos!C10+NºAsuntos!E10)/NºAsuntos!G10," - ")</f>
        <v>5.1764705882352944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31</v>
      </c>
      <c r="Y11" s="337">
        <f t="shared" si="0"/>
        <v>31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620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169</v>
      </c>
      <c r="AJ11" s="234" t="str">
        <f>IF(ISNUMBER(Datos!BW11),Datos!BW11," - ")</f>
        <v xml:space="preserve"> - </v>
      </c>
      <c r="AK11" s="235" t="str">
        <f>IF(ISNUMBER(Datos!BX11),Datos!BX11," - ")</f>
        <v xml:space="preserve"> - </v>
      </c>
      <c r="AL11" s="246">
        <f>IF(ISNUMBER(NºAsuntos!G11/NºAsuntos!E11),NºAsuntos!G11/NºAsuntos!E11," - ")</f>
        <v>1.17</v>
      </c>
      <c r="AM11" s="263">
        <f>IF(ISNUMBER(((NºAsuntos!I11/NºAsuntos!G11)*11)/factor_trimestre),((NºAsuntos!I11/NºAsuntos!G11)*11)/factor_trimestre," - ")</f>
        <v>6.2628205128205137</v>
      </c>
      <c r="AN11" s="247">
        <f>IF(ISNUMBER('Resol  Asuntos'!D11/NºAsuntos!G11),'Resol  Asuntos'!D11/NºAsuntos!G11," - ")</f>
        <v>0.3611111111111111</v>
      </c>
      <c r="AO11" s="248">
        <f>IF(ISNUMBER((NºAsuntos!C11+NºAsuntos!E11)/NºAsuntos!G11),(NºAsuntos!C11+NºAsuntos!E11)/NºAsuntos!G11," - ")</f>
        <v>3.0876068376068377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v>
      </c>
      <c r="Y12" s="337">
        <f t="shared" si="0"/>
        <v>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208</v>
      </c>
      <c r="G13" s="869">
        <f t="shared" si="3"/>
        <v>208</v>
      </c>
      <c r="H13" s="868">
        <f t="shared" si="3"/>
        <v>0</v>
      </c>
      <c r="I13" s="870">
        <f t="shared" si="3"/>
        <v>0</v>
      </c>
      <c r="J13" s="870">
        <f t="shared" si="3"/>
        <v>0</v>
      </c>
      <c r="K13" s="870">
        <f t="shared" si="3"/>
        <v>0</v>
      </c>
      <c r="L13" s="870">
        <f t="shared" si="3"/>
        <v>779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51</v>
      </c>
      <c r="X13" s="870">
        <f t="shared" si="4"/>
        <v>729</v>
      </c>
      <c r="Y13" s="871">
        <f t="shared" si="4"/>
        <v>780</v>
      </c>
      <c r="Z13" s="871">
        <f t="shared" si="4"/>
        <v>0</v>
      </c>
      <c r="AA13" s="871">
        <f t="shared" si="4"/>
        <v>213</v>
      </c>
      <c r="AB13" s="871">
        <f t="shared" si="4"/>
        <v>8458</v>
      </c>
      <c r="AC13" s="871">
        <f t="shared" si="4"/>
        <v>392</v>
      </c>
      <c r="AD13" s="871">
        <f t="shared" si="4"/>
        <v>0</v>
      </c>
      <c r="AE13" s="875">
        <f t="shared" si="4"/>
        <v>0</v>
      </c>
      <c r="AF13" s="868">
        <f t="shared" si="4"/>
        <v>0</v>
      </c>
      <c r="AG13" s="876">
        <f t="shared" si="4"/>
        <v>0</v>
      </c>
      <c r="AH13" s="873">
        <f t="shared" si="4"/>
        <v>0</v>
      </c>
      <c r="AI13" s="868">
        <f t="shared" si="4"/>
        <v>799</v>
      </c>
      <c r="AJ13" s="870">
        <f t="shared" si="4"/>
        <v>0</v>
      </c>
      <c r="AK13" s="873">
        <f>SUBTOTAL(9,AK9:AK12)</f>
        <v>0</v>
      </c>
      <c r="AL13" s="877">
        <f>IF(ISNUMBER(NºAsuntos!G13/NºAsuntos!E13),NºAsuntos!G13/NºAsuntos!E13," - ")</f>
        <v>0.97412480974124804</v>
      </c>
      <c r="AM13" s="877">
        <f>IF(ISNUMBER(((NºAsuntos!I13/NºAsuntos!G13)*11)/factor_trimestre),((NºAsuntos!I13/NºAsuntos!G13)*11)/factor_trimestre," - ")</f>
        <v>6.0787500000000003</v>
      </c>
      <c r="AN13" s="878">
        <f>IF(ISNUMBER('Resol  Asuntos'!D13/NºAsuntos!G13),'Resol  Asuntos'!D13/NºAsuntos!G13," - ")</f>
        <v>0.24968750000000001</v>
      </c>
      <c r="AO13" s="879">
        <f>IF(ISNUMBER((NºAsuntos!C13+NºAsuntos!E13)/NºAsuntos!G13),(NºAsuntos!C13+NºAsuntos!E13)/NºAsuntos!G13," - ")</f>
        <v>3.0246875000000002</v>
      </c>
      <c r="AP13" s="880" t="str">
        <f t="shared" si="2"/>
        <v xml:space="preserve"> - </v>
      </c>
      <c r="AQ13" s="880">
        <f>IF(ISNUMBER((H13-W13+K13)/(F13)),(H13-W13+K13)/(F13)," - ")</f>
        <v>-0.24519230769230768</v>
      </c>
      <c r="AR13" s="881">
        <f>IF(ISNUMBER((Datos!P13-Datos!Q13)/(Datos!R13-Datos!P13+Datos!Q13)),(Datos!P13-Datos!Q13)/(Datos!R13-Datos!P13+Datos!Q13)," - ")</f>
        <v>5.9467174119885819E-3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3245</v>
      </c>
      <c r="G15" s="336">
        <f>IF(ISNUMBER(IF(D_I="SI",Datos!I15,Datos!I15+Datos!AC15)),IF(D_I="SI",Datos!I15,Datos!I15+Datos!AC15)," - ")</f>
        <v>3200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127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1928</v>
      </c>
      <c r="X15" s="229">
        <f>IF(ISNUMBER(Datos!Q15),Datos!Q15," - ")</f>
        <v>116</v>
      </c>
      <c r="Y15" s="337">
        <f>SUM(W15)</f>
        <v>1928</v>
      </c>
      <c r="Z15" s="338" t="str">
        <f>IF(ISNUMBER(Datos!CC15),Datos!CC15," - ")</f>
        <v xml:space="preserve"> - </v>
      </c>
      <c r="AA15" s="335">
        <f>IF(ISNUMBER(IF(D_I="SI",Datos!L15,Datos!L15+Datos!AF15)),IF(D_I="SI",Datos!L15,Datos!L15+Datos!AF15)," - ")</f>
        <v>3399</v>
      </c>
      <c r="AB15" s="337">
        <f>IF(ISNUMBER(Datos!R15),Datos!R15," - ")</f>
        <v>323</v>
      </c>
      <c r="AC15" s="337">
        <f t="shared" ref="AC15:AC17" si="6">IF(ISNUMBER(AA15+AB15),AA15+AB15," - ")</f>
        <v>3722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267</v>
      </c>
      <c r="AJ15" s="234" t="str">
        <f>IF(ISNUMBER(Datos!BW15),Datos!BW15," - ")</f>
        <v xml:space="preserve"> - </v>
      </c>
      <c r="AK15" s="235" t="str">
        <f>IF(ISNUMBER(Datos!BX15),Datos!BX15," - ")</f>
        <v xml:space="preserve"> - </v>
      </c>
      <c r="AL15" s="246">
        <f>IF(ISNUMBER(NºAsuntos!G15/NºAsuntos!E15),NºAsuntos!G15/NºAsuntos!E15," - ")</f>
        <v>0.92603266090297787</v>
      </c>
      <c r="AM15" s="263">
        <f>IF(ISNUMBER(((NºAsuntos!I15/NºAsuntos!G15)*11)/factor_trimestre),((NºAsuntos!I15/NºAsuntos!G15)*11)/factor_trimestre," - ")</f>
        <v>5.2889004149377596</v>
      </c>
      <c r="AN15" s="247">
        <f>IF(ISNUMBER('Resol  Asuntos'!D15/NºAsuntos!G15),'Resol  Asuntos'!D15/NºAsuntos!G15," - ")</f>
        <v>0.13848547717842324</v>
      </c>
      <c r="AO15" s="248">
        <f>IF(ISNUMBER((NºAsuntos!C15+NºAsuntos!E15)/NºAsuntos!G15),(NºAsuntos!C15+NºAsuntos!E15)/NºAsuntos!G15," - ")</f>
        <v>2.7396265560165975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238</v>
      </c>
      <c r="X17" s="229">
        <f>IF(ISNUMBER(Datos!Q17),Datos!Q17," - ")</f>
        <v>2</v>
      </c>
      <c r="Y17" s="337">
        <f t="shared" si="7"/>
        <v>240</v>
      </c>
      <c r="Z17" s="338" t="str">
        <f>IF(ISNUMBER(Datos!CC17),Datos!CC17," - ")</f>
        <v xml:space="preserve"> - </v>
      </c>
      <c r="AA17" s="335">
        <f>IF(ISNUMBER(Datos!L17),Datos!L17,"-")</f>
        <v>329</v>
      </c>
      <c r="AB17" s="337">
        <f>IF(ISNUMBER(Datos!R17),Datos!R17," - ")</f>
        <v>5</v>
      </c>
      <c r="AC17" s="337">
        <f t="shared" si="6"/>
        <v>334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38</v>
      </c>
      <c r="AJ17" s="234" t="str">
        <f>IF(ISNUMBER(Datos!BW17),Datos!BW17," - ")</f>
        <v xml:space="preserve"> - </v>
      </c>
      <c r="AK17" s="235" t="str">
        <f>IF(ISNUMBER(Datos!BX17),Datos!BX17," - ")</f>
        <v xml:space="preserve"> - </v>
      </c>
      <c r="AL17" s="246">
        <f>IF(ISNUMBER(NºAsuntos!G17/NºAsuntos!E17),NºAsuntos!G17/NºAsuntos!E17," - ")</f>
        <v>0.93700787401574803</v>
      </c>
      <c r="AM17" s="263">
        <f>IF(ISNUMBER(((NºAsuntos!I17/NºAsuntos!G17)*11)/factor_trimestre),((NºAsuntos!I17/NºAsuntos!G17)*11)/factor_trimestre," - ")</f>
        <v>4.1470588235294121</v>
      </c>
      <c r="AN17" s="247">
        <f>IF(ISNUMBER('Resol  Asuntos'!D17/NºAsuntos!G17),'Resol  Asuntos'!D17/NºAsuntos!G17," - ")</f>
        <v>0.15966386554621848</v>
      </c>
      <c r="AO17" s="248">
        <f>IF(ISNUMBER((NºAsuntos!C17+NºAsuntos!E17)/NºAsuntos!G17),(NºAsuntos!C17+NºAsuntos!E17)/NºAsuntos!G17," - ")</f>
        <v>2.3823529411764706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3245</v>
      </c>
      <c r="G18" s="869">
        <f>SUBTOTAL(9,G15:G17)</f>
        <v>3513</v>
      </c>
      <c r="H18" s="868">
        <f t="shared" ref="H18:O18" si="10">SUBTOTAL(9,H14:H17)</f>
        <v>0</v>
      </c>
      <c r="I18" s="870">
        <f t="shared" si="10"/>
        <v>0</v>
      </c>
      <c r="J18" s="870">
        <f t="shared" si="10"/>
        <v>0</v>
      </c>
      <c r="K18" s="870">
        <f t="shared" si="10"/>
        <v>0</v>
      </c>
      <c r="L18" s="870">
        <f t="shared" si="10"/>
        <v>129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2166</v>
      </c>
      <c r="X18" s="870">
        <f t="shared" si="11"/>
        <v>118</v>
      </c>
      <c r="Y18" s="871">
        <f t="shared" si="11"/>
        <v>2168</v>
      </c>
      <c r="Z18" s="871">
        <f t="shared" si="11"/>
        <v>0</v>
      </c>
      <c r="AA18" s="871">
        <f t="shared" si="11"/>
        <v>3728</v>
      </c>
      <c r="AB18" s="871">
        <f t="shared" si="11"/>
        <v>328</v>
      </c>
      <c r="AC18" s="871">
        <f t="shared" si="11"/>
        <v>4056</v>
      </c>
      <c r="AD18" s="871">
        <f t="shared" si="11"/>
        <v>0</v>
      </c>
      <c r="AE18" s="875">
        <f t="shared" si="11"/>
        <v>0</v>
      </c>
      <c r="AF18" s="868">
        <f t="shared" si="11"/>
        <v>0</v>
      </c>
      <c r="AG18" s="876">
        <f t="shared" si="11"/>
        <v>0</v>
      </c>
      <c r="AH18" s="873">
        <f t="shared" si="11"/>
        <v>0</v>
      </c>
      <c r="AI18" s="868">
        <f t="shared" si="11"/>
        <v>305</v>
      </c>
      <c r="AJ18" s="870">
        <f t="shared" si="11"/>
        <v>0</v>
      </c>
      <c r="AK18" s="873">
        <f t="shared" si="11"/>
        <v>0</v>
      </c>
      <c r="AL18" s="877">
        <f>IF(ISNUMBER(NºAsuntos!G18/NºAsuntos!E18),NºAsuntos!G18/NºAsuntos!E18," - ")</f>
        <v>0.92722602739726023</v>
      </c>
      <c r="AM18" s="877">
        <f>IF(ISNUMBER(((NºAsuntos!I18/NºAsuntos!G18)*11)/factor_trimestre),((NºAsuntos!I18/NºAsuntos!G18)*11)/factor_trimestre," - ")</f>
        <v>5.163434903047091</v>
      </c>
      <c r="AN18" s="878">
        <f>IF(ISNUMBER('Resol  Asuntos'!D18/NºAsuntos!G18),'Resol  Asuntos'!D18/NºAsuntos!G18," - ")</f>
        <v>0.14081255771006462</v>
      </c>
      <c r="AO18" s="879">
        <f>IF(ISNUMBER((NºAsuntos!C18+NºAsuntos!E18)/NºAsuntos!G18),(NºAsuntos!C18+NºAsuntos!E18)/NºAsuntos!G18," - ")</f>
        <v>2.7003693444136658</v>
      </c>
      <c r="AP18" s="880" t="str">
        <f t="shared" si="2"/>
        <v xml:space="preserve"> - </v>
      </c>
      <c r="AQ18" s="880">
        <f>IF(ISNUMBER((H18-W18+K18)/(F18)),(H18-W18+K18)/(F18)," - ")</f>
        <v>-0.66748844375963023</v>
      </c>
      <c r="AR18" s="881">
        <f>IF(ISNUMBER((Datos!P18-Datos!Q18)/(Datos!R18-Datos!P18+Datos!Q18)),(Datos!P18-Datos!Q18)/(Datos!R18-Datos!P18+Datos!Q18)," - ")</f>
        <v>3.4700315457413249E-2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3453</v>
      </c>
      <c r="G19" s="824">
        <f t="shared" si="13"/>
        <v>3721</v>
      </c>
      <c r="H19" s="823">
        <f t="shared" si="13"/>
        <v>0</v>
      </c>
      <c r="I19" s="825">
        <f t="shared" si="13"/>
        <v>0</v>
      </c>
      <c r="J19" s="825">
        <f t="shared" si="13"/>
        <v>0</v>
      </c>
      <c r="K19" s="884">
        <f t="shared" si="13"/>
        <v>0</v>
      </c>
      <c r="L19" s="825">
        <f t="shared" si="13"/>
        <v>908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2217</v>
      </c>
      <c r="X19" s="824">
        <f t="shared" si="14"/>
        <v>847</v>
      </c>
      <c r="Y19" s="831">
        <f t="shared" si="14"/>
        <v>2948</v>
      </c>
      <c r="Z19" s="831">
        <f t="shared" si="14"/>
        <v>0</v>
      </c>
      <c r="AA19" s="831">
        <f t="shared" si="14"/>
        <v>3941</v>
      </c>
      <c r="AB19" s="831">
        <f t="shared" si="14"/>
        <v>8786</v>
      </c>
      <c r="AC19" s="831">
        <f t="shared" si="14"/>
        <v>4448</v>
      </c>
      <c r="AD19" s="831">
        <f t="shared" si="14"/>
        <v>0</v>
      </c>
      <c r="AE19" s="833">
        <f t="shared" si="14"/>
        <v>0</v>
      </c>
      <c r="AF19" s="834">
        <f t="shared" si="14"/>
        <v>0</v>
      </c>
      <c r="AG19" s="835">
        <f t="shared" si="14"/>
        <v>0</v>
      </c>
      <c r="AH19" s="833">
        <f t="shared" si="14"/>
        <v>0</v>
      </c>
      <c r="AI19" s="823">
        <f t="shared" si="14"/>
        <v>1104</v>
      </c>
      <c r="AJ19" s="823">
        <f t="shared" si="14"/>
        <v>0</v>
      </c>
      <c r="AK19" s="833">
        <f t="shared" si="14"/>
        <v>0</v>
      </c>
      <c r="AL19" s="887">
        <f>IF(ISNUMBER(NºAsuntos!G19/NºAsuntos!E19),NºAsuntos!G19/NºAsuntos!E19," - ")</f>
        <v>0.95463440668920119</v>
      </c>
      <c r="AM19" s="888">
        <f>IF(ISNUMBER(((NºAsuntos!I19/NºAsuntos!G19)*11)/factor_trimestre),((NºAsuntos!I19/NºAsuntos!G19)*11)/factor_trimestre," - ")</f>
        <v>5.7092806559821101</v>
      </c>
      <c r="AN19" s="888">
        <f>IF(ISNUMBER('Resol  Asuntos'!D19/NºAsuntos!G19),'Resol  Asuntos'!D19/NºAsuntos!G19," - ")</f>
        <v>0.20573984345881477</v>
      </c>
      <c r="AO19" s="889">
        <f>IF(ISNUMBER((NºAsuntos!C19+NºAsuntos!E19)/NºAsuntos!G19),(NºAsuntos!C19+NºAsuntos!E19)/NºAsuntos!G19," - ")</f>
        <v>2.8937756243011554</v>
      </c>
      <c r="AP19" s="890" t="str">
        <f t="shared" si="2"/>
        <v xml:space="preserve"> - </v>
      </c>
      <c r="AQ19" s="891">
        <f>IF(OR(ISNUMBER(FIND("01",Criterios!A8,1)),ISNUMBER(FIND("02",Criterios!A8,1)),ISNUMBER(FIND("03",Criterios!A8,1)),ISNUMBER(FIND("04",Criterios!A8,1))),(I19-W19+K19)/(F19-K19),(H19-W19+K19)/(F19-K19))</f>
        <v>-0.64205039096437877</v>
      </c>
      <c r="AR19" s="892">
        <f>IF(ISNUMBER((Datos!P19-Datos!Q19)/(Datos!R19-Datos!P19+Datos!Q19)),(Datos!P19-Datos!Q19)/(Datos!R19-Datos!P19+Datos!Q19)," - ")</f>
        <v>6.9914040114613177E-3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1488.4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2.8284271247461903</v>
      </c>
      <c r="F21" s="255">
        <f>IF(ISNUMBER(STDEV(F8:F18)),STDEV(F8:F18),"-")</f>
        <v>1753.4127675288935</v>
      </c>
      <c r="G21" s="256">
        <f>IF(ISNUMBER(STDEV(G8:G18)),STDEV(G8:G18),"-")</f>
        <v>1709.4584815081062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1065.1895136547298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291.17005340522229</v>
      </c>
      <c r="AJ21" s="255">
        <f t="shared" si="18"/>
        <v>0</v>
      </c>
      <c r="AK21" s="257">
        <f t="shared" si="18"/>
        <v>0</v>
      </c>
      <c r="AL21" s="252">
        <f t="shared" si="18"/>
        <v>9.0258785875722447E-2</v>
      </c>
      <c r="AM21" s="253">
        <f t="shared" si="18"/>
        <v>2.7600891723355763</v>
      </c>
      <c r="AN21" s="253">
        <f t="shared" si="18"/>
        <v>0.11405106283075725</v>
      </c>
      <c r="AO21" s="254">
        <f t="shared" si="18"/>
        <v>0.92352740228941632</v>
      </c>
      <c r="AP21" s="294" t="str">
        <f t="shared" si="18"/>
        <v>-</v>
      </c>
      <c r="AQ21" s="295">
        <f t="shared" si="18"/>
        <v>0.29860846148208059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WvaMVBS5dKQnSFsZec9hSG5+inlYeoeg9aHWc1ck/t19OlCnEAOQSLnYewZ8h5o73dbxZ/f1Kf/YfHOk7qSKA==" saltValue="xGYdiZXudUg4kEyIW2It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LOGROÑO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0.16698656429942418</v>
      </c>
      <c r="I9" s="353">
        <f>IF(ISNUMBER((Tasas!C9-Datos!BE9)/Datos!BE9),(Tasas!C9-Datos!BE9)/Datos!BE9," - ")</f>
        <v>0.18826947214513384</v>
      </c>
      <c r="J9" s="352">
        <f>IF(ISNUMBER((Tasas!D9-Datos!BF9)/Datos!BF9),(Tasas!D9-Datos!BF9)/Datos!BF9," - ")</f>
        <v>-0.39167515146627424</v>
      </c>
      <c r="K9" s="354">
        <f>IF(ISNUMBER((Tasas!E9-Datos!BG9)/Datos!BG9),(Tasas!E9-Datos!BG9)/Datos!BG9," - ")</f>
        <v>0.11682959346211441</v>
      </c>
      <c r="M9" t="e">
        <f>IF(Monitorios="SI",Datos!CE9,0)</f>
        <v>#REF!</v>
      </c>
      <c r="N9" t="e">
        <f>IF(Monitorios="SI",Datos!CF9,0)</f>
        <v>#REF!</v>
      </c>
      <c r="O9" t="e">
        <f>IF(Monitorios="SI",Datos!CG9,0)</f>
        <v>#REF!</v>
      </c>
      <c r="P9" t="e">
        <f>IF(Monitorios="SI",Datos!CH9,0)</f>
        <v>#REF!</v>
      </c>
      <c r="Q9">
        <f>IF(J_V="SI",0,Datos!AG9)</f>
        <v>48</v>
      </c>
      <c r="R9">
        <f>IF(J_V="SI",0,Datos!AH9)</f>
        <v>83</v>
      </c>
      <c r="S9">
        <f>IF(J_V="SI",0,Datos!AI9)</f>
        <v>77</v>
      </c>
      <c r="T9">
        <f>IF(J_V="SI",0,Datos!AJ9)</f>
        <v>54</v>
      </c>
    </row>
    <row r="10" spans="2:20" ht="14.25">
      <c r="B10" s="278" t="s">
        <v>245</v>
      </c>
      <c r="C10" s="7" t="str">
        <f>Datos!A10</f>
        <v>Jdos. Violencia contra la mujer</v>
      </c>
      <c r="D10" s="355">
        <f>IF(ISNUMBER((Datos!I10-Datos!S10)/Datos!S10),(Datos!I10-Datos!S10)/Datos!S10," - ")</f>
        <v>0.26060606060606062</v>
      </c>
      <c r="E10" s="351">
        <f>IF(ISNUMBER((Datos!J10-Datos!T10)/Datos!T10),(Datos!J10-Datos!T10)/Datos!T10," - ")</f>
        <v>0.19148936170212766</v>
      </c>
      <c r="F10" s="351">
        <f>IF(ISNUMBER((Datos!K10-Datos!U10)/Datos!U10),(Datos!K10-Datos!U10)/Datos!U10," - ")</f>
        <v>-0.203125</v>
      </c>
      <c r="G10" s="352">
        <f>IF(ISNUMBER((Datos!L10-Datos!V10)/Datos!V10),(Datos!L10-Datos!V10)/Datos!V10," - ")</f>
        <v>0.4391891891891892</v>
      </c>
      <c r="H10" s="233">
        <f>IF(ISNUMBER((Datos!M10-Datos!W10)/Datos!W10),(Datos!M10-Datos!W10)/Datos!W10," - ")</f>
        <v>4.7619047619047616E-2</v>
      </c>
      <c r="I10" s="353">
        <f>IF(ISNUMBER((Tasas!C10-Datos!BE10)/Datos!BE10),(Tasas!C10-Datos!BE10)/Datos!BE10," - ")</f>
        <v>0.8060413354531003</v>
      </c>
      <c r="J10" s="352">
        <f>IF(ISNUMBER((Tasas!D10-Datos!BF10)/Datos!BF10),(Tasas!D10-Datos!BF10)/Datos!BF10," - ")</f>
        <v>0.31465919701213824</v>
      </c>
      <c r="K10" s="354">
        <f>IF(ISNUMBER((Tasas!E10-Datos!BG10)/Datos!BG10),(Tasas!E10-Datos!BG10)/Datos!BG10," - ")</f>
        <v>0.56270810210876809</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0.48245614035087719</v>
      </c>
      <c r="I11" s="353">
        <f>IF(ISNUMBER((Tasas!C11-Datos!BE11)/Datos!BE11),(Tasas!C11-Datos!BE11)/Datos!BE11," - ")</f>
        <v>0.15108672061513664</v>
      </c>
      <c r="J11" s="352">
        <f>IF(ISNUMBER((Tasas!D11-Datos!BF11)/Datos!BF11),(Tasas!D11-Datos!BF11)/Datos!BF11," - ")</f>
        <v>-0.45654565456545654</v>
      </c>
      <c r="K11" s="354">
        <f>IF(ISNUMBER((Tasas!E11-Datos!BG11)/Datos!BG11),(Tasas!E11-Datos!BG11)/Datos!BG11," - ")</f>
        <v>9.7387932929632104E-2</v>
      </c>
      <c r="M11" t="e">
        <f>IF(Monitorios="SI",Datos!CE11,0)</f>
        <v>#REF!</v>
      </c>
      <c r="N11" t="e">
        <f>IF(Monitorios="SI",Datos!CF11,0)</f>
        <v>#REF!</v>
      </c>
      <c r="O11" t="e">
        <f>IF(Monitorios="SI",Datos!CG11,0)</f>
        <v>#REF!</v>
      </c>
      <c r="P11" t="e">
        <f>IF(Monitorios="SI",Datos!CH11,0)</f>
        <v>#REF!</v>
      </c>
      <c r="Q11">
        <f>IF(J_V="SI",0,Datos!AG11)</f>
        <v>49</v>
      </c>
      <c r="R11">
        <f>IF(J_V="SI",0,Datos!AH11)</f>
        <v>110</v>
      </c>
      <c r="S11">
        <f>IF(J_V="SI",0,Datos!AI11)</f>
        <v>80</v>
      </c>
      <c r="T11">
        <f>IF(J_V="SI",0,Datos!AJ11)</f>
        <v>79</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0.21798780487804878</v>
      </c>
      <c r="I13" s="360">
        <f>IF(ISNUMBER((Tasas!C13-Datos!BE13)/Datos!BE13),(Tasas!C13-Datos!BE13)/Datos!BE13," - ")</f>
        <v>0.18758920215255037</v>
      </c>
      <c r="J13" s="358">
        <f>IF(ISNUMBER((Tasas!D13-Datos!BF13)/Datos!BF13),(Tasas!D13-Datos!BF13)/Datos!BF13," - ")</f>
        <v>-0.41215489896616542</v>
      </c>
      <c r="K13" s="361">
        <f>IF(ISNUMBER((Tasas!E13-Datos!BG13)/Datos!BG13),(Tasas!E13-Datos!BG13)/Datos!BG13," - ")</f>
        <v>0.11769319774303011</v>
      </c>
      <c r="M13" t="e">
        <f>IF(Monitorios="SI",Datos!CE13,0)</f>
        <v>#REF!</v>
      </c>
      <c r="N13" t="e">
        <f>IF(Monitorios="SI",Datos!CF13,0)</f>
        <v>#REF!</v>
      </c>
      <c r="O13" t="e">
        <f>IF(Monitorios="SI",Datos!CG13,0)</f>
        <v>#REF!</v>
      </c>
      <c r="P13" t="e">
        <f>IF(Monitorios="SI",Datos!CH13,0)</f>
        <v>#REF!</v>
      </c>
      <c r="Q13">
        <f>IF(J_V="SI",0,Datos!AG13)</f>
        <v>97</v>
      </c>
      <c r="R13">
        <f>IF(J_V="SI",0,Datos!AH13)</f>
        <v>193</v>
      </c>
      <c r="S13">
        <f>IF(J_V="SI",0,Datos!AI13)</f>
        <v>157</v>
      </c>
      <c r="T13">
        <f>IF(J_V="SI",0,Datos!AJ13)</f>
        <v>133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0.58415841584158412</v>
      </c>
      <c r="E15" s="351">
        <f>IF(ISNUMBER(
   IF(D_I="SI",(Datos!J15-Datos!T15)/Datos!T15,(Datos!J15+Datos!AD15-(Datos!T15+Datos!AL15))/(Datos!T15+Datos!AL15))
     ),IF(D_I="SI",(Datos!J15-Datos!T15)/Datos!T15,(Datos!J15+Datos!AD15-(Datos!T15+Datos!AL15))/(Datos!T15+Datos!AL15))," - ")</f>
        <v>9.6366508688783575E-2</v>
      </c>
      <c r="F15" s="351">
        <f>IF(ISNUMBER(
   IF(D_I="SI",(Datos!K15-Datos!U15)/Datos!U15,(Datos!K15+Datos!AE15-(Datos!U15+Datos!AM15))/(Datos!U15+Datos!AM15))
     ),IF(D_I="SI",(Datos!K15-Datos!U15)/Datos!U15,(Datos!K15+Datos!AE15-(Datos!U15+Datos!AM15))/(Datos!U15+Datos!AM15))," - ")</f>
        <v>1.4736842105263158E-2</v>
      </c>
      <c r="G15" s="352">
        <f>IF(ISNUMBER(
   IF(D_I="SI",(Datos!L15-Datos!V15)/Datos!V15,(Datos!L15+Datos!AF15-(Datos!V15+Datos!AN15))/(Datos!V15+Datos!AN15))
     ),IF(D_I="SI",(Datos!L15-Datos!V15)/Datos!V15,(Datos!L15+Datos!AF15-(Datos!V15+Datos!AN15))/(Datos!V15+Datos!AN15))," - ")</f>
        <v>0.6735598227474151</v>
      </c>
      <c r="H15" s="233">
        <f>IF(ISNUMBER((Datos!M15-Datos!W15)/Datos!W15),(Datos!M15-Datos!W15)/Datos!W15," - ")</f>
        <v>-6.968641114982578E-2</v>
      </c>
      <c r="I15" s="353">
        <f>IF(ISNUMBER((Tasas!C15-Datos!BE15)/Datos!BE15),(Tasas!C15-Datos!BE15)/Datos!BE15," - ")</f>
        <v>0.64925501204361435</v>
      </c>
      <c r="J15" s="352">
        <f>IF(ISNUMBER((Tasas!D15-Datos!BF15)/Datos!BF15),(Tasas!D15-Datos!BF15)/Datos!BF15," - ")</f>
        <v>-8.3197189411135242E-2</v>
      </c>
      <c r="K15" s="354">
        <f>IF(ISNUMBER((Tasas!E15-Datos!BG15)/Datos!BG15),(Tasas!E15-Datos!BG15)/Datos!BG15," - ")</f>
        <v>0.32821904986770489</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0.27755102040816326</v>
      </c>
      <c r="E17" s="351">
        <f>IF(ISNUMBER(
   IF(D_I="SI",(Datos!J17-Datos!T17)/Datos!T17,(Datos!J17+Datos!AD17-(Datos!T17+Datos!AL17))/(Datos!T17+Datos!AL17))
     ),IF(D_I="SI",(Datos!J17-Datos!T17)/Datos!T17,(Datos!J17+Datos!AD17-(Datos!T17+Datos!AL17))/(Datos!T17+Datos!AL17))," - ")</f>
        <v>0.38797814207650272</v>
      </c>
      <c r="F17" s="351">
        <f>IF(ISNUMBER(
   IF(D_I="SI",(Datos!K17-Datos!U17)/Datos!U17,(Datos!K17+Datos!AE17-(Datos!U17+Datos!AM17))/(Datos!U17+Datos!AM17))
     ),IF(D_I="SI",(Datos!K17-Datos!U17)/Datos!U17,(Datos!K17+Datos!AE17-(Datos!U17+Datos!AM17))/(Datos!U17+Datos!AM17))," - ")</f>
        <v>0.43373493975903615</v>
      </c>
      <c r="G17" s="352">
        <f>IF(ISNUMBER(
   IF(D_I="SI",(Datos!L17-Datos!V17)/Datos!V17,(Datos!L17+Datos!AF17-(Datos!V17+Datos!AN17))/(Datos!V17+Datos!AN17))
     ),IF(D_I="SI",(Datos!L17-Datos!V17)/Datos!V17,(Datos!L17+Datos!AF17-(Datos!V17+Datos!AN17))/(Datos!V17+Datos!AN17))," - ")</f>
        <v>0.25572519083969464</v>
      </c>
      <c r="H17" s="233">
        <f>IF(ISNUMBER((Datos!M17-Datos!W17)/Datos!W17),(Datos!M17-Datos!W17)/Datos!W17," - ")</f>
        <v>0.22580645161290322</v>
      </c>
      <c r="I17" s="353">
        <f>IF(ISNUMBER((Tasas!C17-Datos!BE17)/Datos!BE17),(Tasas!C17-Datos!BE17)/Datos!BE17," - ")</f>
        <v>-0.1241580601706332</v>
      </c>
      <c r="J17" s="352">
        <f>IF(ISNUMBER((Tasas!D17-Datos!BF17)/Datos!BF17),(Tasas!D17-Datos!BF17)/Datos!BF17," - ")</f>
        <v>-0.14502575223637845</v>
      </c>
      <c r="K17" s="354">
        <f>IF(ISNUMBER((Tasas!E17-Datos!BG17)/Datos!BG17),(Tasas!E17-Datos!BG17)/Datos!BG17," - ")</f>
        <v>-7.6003298515667991E-2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0.55099337748344368</v>
      </c>
      <c r="E18" s="357">
        <f>IF(ISNUMBER(
   IF(D_I="SI",(Datos!J18-Datos!T18)/Datos!T18,(Datos!J18+Datos!AD18-(Datos!T18+Datos!AL18))/(Datos!T18+Datos!AL18))
     ),IF(D_I="SI",(Datos!J18-Datos!T18)/Datos!T18,(Datos!J18+Datos!AD18-(Datos!T18+Datos!AL18))/(Datos!T18+Datos!AL18))," - ")</f>
        <v>0.12199807877041306</v>
      </c>
      <c r="F18" s="357">
        <f>IF(ISNUMBER(
   IF(D_I="SI",(Datos!K18-Datos!U18)/Datos!U18,(Datos!K18+Datos!AE18-(Datos!U18+Datos!AM18))/(Datos!U18+Datos!AM18))
     ),IF(D_I="SI",(Datos!K18-Datos!U18)/Datos!U18,(Datos!K18+Datos!AE18-(Datos!U18+Datos!AM18))/(Datos!U18+Datos!AM18))," - ")</f>
        <v>4.8402710551790899E-2</v>
      </c>
      <c r="G18" s="358">
        <f>IF(ISNUMBER(
   IF(D_I="SI",(Datos!L18-Datos!V18)/Datos!V18,(Datos!L18+Datos!AF18-(Datos!V18+Datos!AN18))/(Datos!V18+Datos!AN18))
     ),IF(D_I="SI",(Datos!L18-Datos!V18)/Datos!V18,(Datos!L18+Datos!AF18-(Datos!V18+Datos!AN18))/(Datos!V18+Datos!AN18))," - ")</f>
        <v>0.62581770606192766</v>
      </c>
      <c r="H18" s="359">
        <f>IF(ISNUMBER((Datos!M18-Datos!W18)/Datos!W18),(Datos!M18-Datos!W18)/Datos!W18," - ")</f>
        <v>-4.0880503144654086E-2</v>
      </c>
      <c r="I18" s="360">
        <f>IF(ISNUMBER((Tasas!C18-Datos!BE18)/Datos!BE18),(Tasas!C18-Datos!BE18)/Datos!BE18," - ")</f>
        <v>0.55075687014032437</v>
      </c>
      <c r="J18" s="358">
        <f>IF(ISNUMBER((Tasas!D18-Datos!BF18)/Datos!BF18),(Tasas!D18-Datos!BF18)/Datos!BF18," - ")</f>
        <v>-8.5161181669831804E-2</v>
      </c>
      <c r="K18" s="361">
        <f>IF(ISNUMBER((Tasas!E18-Datos!BG18)/Datos!BG18),(Tasas!E18-Datos!BG18)/Datos!BG18," - ")</f>
        <v>0.28340535209538387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0.56830774101630521</v>
      </c>
      <c r="E19" s="366">
        <f>IF(ISNUMBER(
   IF(J_V="SI",(Datos!J19-Datos!T19)/Datos!T19,(Datos!J19+Datos!Z19-(Datos!T19+Datos!AH19))/(Datos!T19+Datos!AH19))
     ),IF(J_V="SI",(Datos!J19-Datos!T19)/Datos!T19,(Datos!J19+Datos!Z19-(Datos!T19+Datos!AH19))/(Datos!T19+Datos!AH19))," - ")</f>
        <v>0.16885007278020378</v>
      </c>
      <c r="F19" s="366">
        <f>IF(ISNUMBER(
   IF(J_V="SI",(Datos!K19-Datos!U19)/Datos!U19,(Datos!K19+Datos!AA19-(Datos!U19+Datos!AI19))/(Datos!U19+Datos!AI19))
     ),IF(J_V="SI",(Datos!K19-Datos!U19)/Datos!U19,(Datos!K19+Datos!AA19-(Datos!U19+Datos!AI19))/(Datos!U19+Datos!AI19))," - ")</f>
        <v>0.17392255523955372</v>
      </c>
      <c r="G19" s="367">
        <f>IF(ISNUMBER(
   IF(J_V="SI",(Datos!L19-Datos!V19)/Datos!V19,(Datos!L19+Datos!AB19-(Datos!V19+Datos!AJ19))/(Datos!V19+Datos!AJ19))
     ),IF(J_V="SI",(Datos!L19-Datos!V19)/Datos!V19,(Datos!L19+Datos!AB19-(Datos!V19+Datos!AJ19))/(Datos!V19+Datos!AJ19))," - ")</f>
        <v>0.55504796710826865</v>
      </c>
      <c r="H19" s="368">
        <f>IF(ISNUMBER((Datos!M19-Datos!W19)/Datos!W19),(Datos!M19-Datos!W19)/Datos!W19," - ")</f>
        <v>0.13347022587268995</v>
      </c>
      <c r="I19" s="365">
        <f>IF(ISNUMBER((Tasas!C19-Datos!BE19)/Datos!BE19),(Tasas!C19-Datos!BE19)/Datos!BE19," - ")</f>
        <v>0.32465975729629082</v>
      </c>
      <c r="J19" s="366">
        <f>IF(ISNUMBER((Tasas!D19-Datos!BF19)/Datos!BF19),(Tasas!D19-Datos!BF19)/Datos!BF19," - ")</f>
        <v>-0.31951025727189414</v>
      </c>
      <c r="K19" s="367">
        <f>IF(ISNUMBER((Tasas!E19-Datos!BG19)/Datos!BG19),(Tasas!E19-Datos!BG19)/Datos!BG19," - ")</f>
        <v>0.18887725855478893</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0.17300693372209175</v>
      </c>
      <c r="E21" s="281">
        <f t="shared" si="1"/>
        <v>0.13194852297080284</v>
      </c>
      <c r="F21" s="281">
        <f t="shared" si="1"/>
        <v>0.26481035316057977</v>
      </c>
      <c r="G21" s="282">
        <f t="shared" si="1"/>
        <v>0.19088661447431168</v>
      </c>
      <c r="H21" s="288">
        <f t="shared" si="1"/>
        <v>0.18987207564081732</v>
      </c>
      <c r="I21" s="280">
        <f t="shared" si="1"/>
        <v>0.33028143507157237</v>
      </c>
      <c r="J21" s="281">
        <f t="shared" si="1"/>
        <v>0.27063374856214212</v>
      </c>
      <c r="K21" s="282">
        <f t="shared" si="1"/>
        <v>0.20624495629039982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lUr49B3T2DWUuMfp9XwCXSTtnlSZ6fKfujtguLplsdxVEg+xWKs8eYWgdnC1joc2cols2NgwqmY/iHf0tWP0w==" saltValue="0PA9+oGP0q2svir8tfTR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